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D\OneDrive\OneDrive Documents\SCADA Standard\2022 Developing\"/>
    </mc:Choice>
  </mc:AlternateContent>
  <bookViews>
    <workbookView xWindow="0" yWindow="330" windowWidth="22980" windowHeight="9810" tabRatio="890" firstSheet="4" activeTab="8"/>
  </bookViews>
  <sheets>
    <sheet name="Guide" sheetId="3" r:id="rId1"/>
    <sheet name="BXX Alarms" sheetId="15" r:id="rId2"/>
    <sheet name="SCADA_DEV_RPU" sheetId="10" r:id="rId3"/>
    <sheet name="SCADA_SYS_DI Dialer Alarms" sheetId="14" r:id="rId4"/>
    <sheet name="SCADA_DEV_AIT" sheetId="1" r:id="rId5"/>
    <sheet name="SCADA_DEV_MOTOR" sheetId="2" r:id="rId6"/>
    <sheet name="SCADA_DEV_VLV" sheetId="4" r:id="rId7"/>
    <sheet name="SCADA_DEV_ATS" sheetId="7" r:id="rId8"/>
    <sheet name="SCADA_DEV_GEN" sheetId="6" r:id="rId9"/>
    <sheet name="SCADA_DEV_PRM" sheetId="8" r:id="rId10"/>
    <sheet name="SCADA_DEV_WTN" sheetId="9" r:id="rId11"/>
    <sheet name="SCADA_PRC_PUMP_XDUTY" sheetId="11" r:id="rId12"/>
    <sheet name="SCADA_PRC_XMTR_XDUTY" sheetId="12" r:id="rId13"/>
    <sheet name="SCADA_PRC_OVERFLOW" sheetId="13" r:id="rId14"/>
  </sheets>
  <externalReferences>
    <externalReference r:id="rId15"/>
  </externalReferences>
  <definedNames>
    <definedName name="_xlnm._FilterDatabase" localSheetId="9" hidden="1">SCADA_DEV_PRM!$A$50:$BL$50</definedName>
  </definedNames>
  <calcPr calcId="162913"/>
</workbook>
</file>

<file path=xl/calcChain.xml><?xml version="1.0" encoding="utf-8"?>
<calcChain xmlns="http://schemas.openxmlformats.org/spreadsheetml/2006/main">
  <c r="A81" i="13" l="1"/>
  <c r="A58" i="13"/>
  <c r="A56" i="13"/>
  <c r="A55" i="13"/>
  <c r="A50" i="13"/>
  <c r="A49" i="13"/>
  <c r="A48" i="13"/>
  <c r="A47" i="13"/>
  <c r="A46" i="13"/>
  <c r="AT81" i="13"/>
  <c r="AT58" i="13"/>
  <c r="AT57" i="13"/>
  <c r="AT56" i="13"/>
  <c r="AT55" i="13"/>
  <c r="AT54" i="13"/>
  <c r="AT53" i="13"/>
  <c r="AT52" i="13"/>
  <c r="AT51" i="13"/>
  <c r="AT50" i="13"/>
  <c r="AT49" i="13"/>
  <c r="AT48" i="13"/>
  <c r="AT47" i="13"/>
  <c r="AT46" i="13"/>
  <c r="AT45" i="13"/>
  <c r="A57" i="13"/>
  <c r="A54" i="13"/>
  <c r="A53" i="13"/>
  <c r="A52" i="13"/>
  <c r="A51" i="13"/>
  <c r="A45" i="13"/>
  <c r="A92" i="13"/>
  <c r="A91" i="13"/>
  <c r="A90" i="13"/>
  <c r="A89" i="13"/>
  <c r="A88" i="13"/>
  <c r="A87" i="13"/>
  <c r="A83" i="13"/>
  <c r="A80" i="13"/>
  <c r="A79" i="13"/>
  <c r="A78" i="13"/>
  <c r="A77" i="13"/>
  <c r="A76" i="13"/>
  <c r="A75" i="13"/>
  <c r="A74" i="13"/>
  <c r="A73" i="13"/>
  <c r="A72" i="13"/>
  <c r="A71" i="13"/>
  <c r="A70" i="13"/>
  <c r="A69" i="13"/>
  <c r="A68" i="13"/>
  <c r="A67" i="13"/>
  <c r="A66" i="13"/>
  <c r="A65" i="13"/>
  <c r="A64" i="13"/>
  <c r="A63" i="13"/>
  <c r="A62" i="13"/>
  <c r="A61" i="13"/>
  <c r="A60" i="13"/>
  <c r="A44" i="13"/>
  <c r="A43" i="13"/>
  <c r="A42" i="13"/>
  <c r="A41" i="13"/>
  <c r="A39" i="13"/>
  <c r="A38" i="13"/>
  <c r="A37" i="13"/>
  <c r="A36" i="13"/>
  <c r="A35" i="13"/>
  <c r="A34" i="13"/>
  <c r="A33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A19" i="13"/>
  <c r="A18" i="13"/>
  <c r="A17" i="13"/>
  <c r="A16" i="13"/>
  <c r="A15" i="13"/>
  <c r="A14" i="13"/>
  <c r="A13" i="13"/>
  <c r="A12" i="13"/>
  <c r="A11" i="13"/>
  <c r="A10" i="13"/>
  <c r="A9" i="13"/>
  <c r="A8" i="13"/>
  <c r="A7" i="13"/>
  <c r="A6" i="13"/>
  <c r="A8" i="12"/>
  <c r="A7" i="12"/>
  <c r="A5" i="12"/>
  <c r="A74" i="11"/>
  <c r="A70" i="11"/>
  <c r="A66" i="11"/>
  <c r="A62" i="11"/>
  <c r="A58" i="11"/>
  <c r="A54" i="11"/>
  <c r="A50" i="11"/>
  <c r="A46" i="11"/>
  <c r="A37" i="11"/>
  <c r="A31" i="11"/>
  <c r="A73" i="11"/>
  <c r="A69" i="11"/>
  <c r="A65" i="11"/>
  <c r="A61" i="11"/>
  <c r="A57" i="11"/>
  <c r="A53" i="11"/>
  <c r="A49" i="11"/>
  <c r="A45" i="11"/>
  <c r="A36" i="11"/>
  <c r="A30" i="11"/>
  <c r="A72" i="11"/>
  <c r="A68" i="11"/>
  <c r="A64" i="11"/>
  <c r="A60" i="11"/>
  <c r="A56" i="11"/>
  <c r="A52" i="11"/>
  <c r="A48" i="11"/>
  <c r="A44" i="11"/>
  <c r="A35" i="11"/>
  <c r="A29" i="11"/>
  <c r="A71" i="11"/>
  <c r="A67" i="11"/>
  <c r="A63" i="11"/>
  <c r="A59" i="11"/>
  <c r="A55" i="11"/>
  <c r="A51" i="11"/>
  <c r="A47" i="11"/>
  <c r="A43" i="11"/>
  <c r="A41" i="11"/>
  <c r="A40" i="11"/>
  <c r="A39" i="11"/>
  <c r="A38" i="11"/>
  <c r="A34" i="11"/>
  <c r="A33" i="11"/>
  <c r="A32" i="11"/>
  <c r="A28" i="11"/>
  <c r="A26" i="11"/>
  <c r="A25" i="11"/>
  <c r="A24" i="11"/>
  <c r="A23" i="11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5" i="9"/>
  <c r="AT45" i="8"/>
  <c r="AT44" i="8"/>
  <c r="AT43" i="8"/>
  <c r="AT42" i="8"/>
  <c r="AT41" i="8"/>
  <c r="AT40" i="8"/>
  <c r="AT39" i="8"/>
  <c r="AT38" i="8"/>
  <c r="AT37" i="8"/>
  <c r="AT36" i="8"/>
  <c r="AT35" i="8"/>
  <c r="AT34" i="8"/>
  <c r="AT33" i="8"/>
  <c r="AT32" i="8"/>
  <c r="AT31" i="8"/>
  <c r="AT30" i="8"/>
  <c r="AT29" i="8"/>
  <c r="AT28" i="8"/>
  <c r="AT27" i="8"/>
  <c r="AT26" i="8"/>
  <c r="AT25" i="8"/>
  <c r="AT24" i="8"/>
  <c r="AT23" i="8"/>
  <c r="AT22" i="8"/>
  <c r="AT21" i="8"/>
  <c r="AT20" i="8"/>
  <c r="AT18" i="8"/>
  <c r="AT17" i="8"/>
  <c r="AT16" i="8"/>
  <c r="AT15" i="8"/>
  <c r="AT14" i="8"/>
  <c r="AT13" i="8"/>
  <c r="AT12" i="8"/>
  <c r="AT11" i="8"/>
  <c r="AT10" i="8"/>
  <c r="AT9" i="8"/>
  <c r="AT8" i="8"/>
  <c r="AT7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8" i="8"/>
  <c r="A17" i="8"/>
  <c r="A16" i="8"/>
  <c r="A15" i="8"/>
  <c r="A14" i="8"/>
  <c r="A13" i="8"/>
  <c r="A12" i="8"/>
  <c r="A11" i="8"/>
  <c r="A10" i="8"/>
  <c r="A9" i="8"/>
  <c r="A8" i="8"/>
  <c r="A7" i="8"/>
  <c r="A47" i="8"/>
  <c r="M47" i="8"/>
  <c r="A58" i="6"/>
  <c r="A57" i="6"/>
  <c r="A56" i="6"/>
  <c r="A55" i="6"/>
  <c r="A54" i="6"/>
  <c r="A53" i="6"/>
  <c r="A52" i="6"/>
  <c r="A49" i="6"/>
  <c r="A47" i="6"/>
  <c r="A45" i="6"/>
  <c r="A44" i="6"/>
  <c r="A43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42" i="7"/>
  <c r="A41" i="7"/>
  <c r="A40" i="7"/>
  <c r="A39" i="7"/>
  <c r="A36" i="7"/>
  <c r="A34" i="7"/>
  <c r="A32" i="7"/>
  <c r="A31" i="7"/>
  <c r="A30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85" i="4"/>
  <c r="A84" i="4"/>
  <c r="A83" i="4"/>
  <c r="A82" i="4"/>
  <c r="A81" i="4"/>
  <c r="A80" i="4"/>
  <c r="A76" i="4"/>
  <c r="A75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8" i="4"/>
  <c r="A57" i="4"/>
  <c r="A56" i="4"/>
  <c r="A55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1" i="2"/>
  <c r="A170" i="2"/>
  <c r="A169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7" i="2"/>
  <c r="A136" i="2"/>
  <c r="A135" i="2"/>
  <c r="A134" i="2"/>
  <c r="A133" i="2"/>
  <c r="A132" i="2"/>
  <c r="A131" i="2"/>
  <c r="A130" i="2"/>
  <c r="A129" i="2"/>
  <c r="A128" i="2"/>
  <c r="A127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78" i="1"/>
  <c r="A77" i="1"/>
  <c r="A76" i="1"/>
  <c r="A75" i="1"/>
  <c r="A74" i="1"/>
  <c r="A73" i="1"/>
  <c r="A69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5" i="1"/>
  <c r="A44" i="1"/>
  <c r="A43" i="1"/>
  <c r="A42" i="1"/>
  <c r="Q22" i="14"/>
  <c r="Q21" i="14"/>
  <c r="Q20" i="14"/>
  <c r="Q19" i="14"/>
  <c r="Q15" i="14"/>
  <c r="Q14" i="14"/>
  <c r="Q13" i="14"/>
  <c r="Q12" i="14"/>
  <c r="A19" i="14"/>
  <c r="A12" i="14"/>
  <c r="Q8" i="14"/>
  <c r="Q7" i="14"/>
  <c r="Q6" i="14"/>
  <c r="Q5" i="14"/>
  <c r="A5" i="14"/>
  <c r="B39" i="10"/>
  <c r="B38" i="10"/>
  <c r="B37" i="10"/>
  <c r="B36" i="10"/>
  <c r="B35" i="10"/>
  <c r="B21" i="10"/>
  <c r="B17" i="10"/>
  <c r="AT40" i="10"/>
  <c r="AT39" i="10"/>
  <c r="AT38" i="10"/>
  <c r="AT37" i="10"/>
  <c r="AT36" i="10"/>
  <c r="AT35" i="10"/>
  <c r="AT34" i="10"/>
  <c r="AT33" i="10"/>
  <c r="AT32" i="10"/>
  <c r="AT31" i="10"/>
  <c r="AT30" i="10"/>
  <c r="AT29" i="10"/>
  <c r="AT28" i="10"/>
  <c r="AT27" i="10"/>
  <c r="AT26" i="10"/>
  <c r="Q24" i="10"/>
  <c r="Q23" i="10"/>
  <c r="Q20" i="10"/>
  <c r="Q19" i="10"/>
  <c r="Q18" i="10"/>
  <c r="Q17" i="10"/>
  <c r="Q16" i="10"/>
  <c r="Q15" i="10"/>
  <c r="Q14" i="10"/>
  <c r="Q13" i="10"/>
  <c r="Q12" i="10"/>
  <c r="Q11" i="10"/>
  <c r="Q10" i="10"/>
  <c r="Q9" i="10"/>
  <c r="Q8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9" i="10"/>
  <c r="A8" i="10"/>
  <c r="A8" i="14" l="1"/>
  <c r="A6" i="14"/>
  <c r="AT8" i="12"/>
  <c r="AT7" i="12"/>
  <c r="Q5" i="12"/>
  <c r="AT67" i="1"/>
  <c r="AT66" i="1"/>
  <c r="AT65" i="1"/>
  <c r="AT64" i="1"/>
  <c r="AT63" i="1"/>
  <c r="AT62" i="1"/>
  <c r="AT61" i="1"/>
  <c r="AT60" i="1"/>
  <c r="AT59" i="1"/>
  <c r="AT58" i="1"/>
  <c r="AT57" i="1"/>
  <c r="AT56" i="1"/>
  <c r="AT55" i="1"/>
  <c r="AT54" i="1"/>
  <c r="AT53" i="1"/>
  <c r="AT52" i="1"/>
  <c r="AT51" i="1"/>
  <c r="AT50" i="1"/>
  <c r="AT49" i="1"/>
  <c r="AT48" i="1"/>
  <c r="AT47" i="1"/>
  <c r="AT45" i="1"/>
  <c r="AT44" i="1"/>
  <c r="AT43" i="1"/>
  <c r="AT42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D102" i="15"/>
  <c r="O98" i="15"/>
  <c r="O94" i="15"/>
  <c r="O90" i="15"/>
  <c r="O86" i="15"/>
  <c r="O82" i="15"/>
  <c r="O78" i="15"/>
  <c r="O74" i="15"/>
  <c r="O70" i="15"/>
  <c r="O66" i="15"/>
  <c r="O62" i="15"/>
  <c r="O58" i="15"/>
  <c r="O54" i="15"/>
  <c r="O50" i="15"/>
  <c r="O46" i="15"/>
  <c r="O42" i="15"/>
  <c r="O38" i="15"/>
  <c r="O34" i="15"/>
  <c r="O30" i="15"/>
  <c r="O26" i="15"/>
  <c r="O22" i="15"/>
  <c r="O18" i="15"/>
  <c r="O14" i="15"/>
  <c r="O10" i="15"/>
  <c r="O6" i="15"/>
  <c r="O99" i="15" s="1"/>
  <c r="C4" i="15"/>
  <c r="D4" i="15" s="1"/>
  <c r="B4" i="15"/>
  <c r="A4" i="15"/>
  <c r="C3" i="15"/>
  <c r="C58" i="15" s="1"/>
  <c r="B3" i="15"/>
  <c r="A3" i="15"/>
  <c r="B126" i="15" s="1"/>
  <c r="D2" i="15"/>
  <c r="O16" i="15" l="1"/>
  <c r="O15" i="15"/>
  <c r="O13" i="15"/>
  <c r="O45" i="15"/>
  <c r="C15" i="15"/>
  <c r="S15" i="15" s="1"/>
  <c r="B72" i="15"/>
  <c r="B77" i="15"/>
  <c r="A20" i="15"/>
  <c r="B55" i="15"/>
  <c r="O88" i="15"/>
  <c r="O8" i="15"/>
  <c r="B28" i="15"/>
  <c r="B10" i="15"/>
  <c r="O28" i="15"/>
  <c r="B62" i="15"/>
  <c r="A38" i="15"/>
  <c r="A41" i="15" s="1"/>
  <c r="O77" i="15"/>
  <c r="O101" i="15"/>
  <c r="O17" i="15"/>
  <c r="A50" i="15"/>
  <c r="Q51" i="15" s="1"/>
  <c r="B67" i="15"/>
  <c r="O80" i="15"/>
  <c r="A30" i="15"/>
  <c r="A33" i="15" s="1"/>
  <c r="A7" i="15"/>
  <c r="B50" i="15"/>
  <c r="O67" i="15"/>
  <c r="O81" i="15"/>
  <c r="O7" i="15"/>
  <c r="A19" i="15"/>
  <c r="O32" i="15"/>
  <c r="O69" i="15"/>
  <c r="A23" i="15"/>
  <c r="B38" i="15"/>
  <c r="O55" i="15"/>
  <c r="B73" i="15"/>
  <c r="O89" i="15"/>
  <c r="A12" i="15"/>
  <c r="B23" i="15"/>
  <c r="O56" i="15"/>
  <c r="O73" i="15"/>
  <c r="B25" i="15"/>
  <c r="O40" i="15"/>
  <c r="O92" i="15"/>
  <c r="B42" i="15"/>
  <c r="A62" i="15"/>
  <c r="Q63" i="15" s="1"/>
  <c r="O75" i="15"/>
  <c r="O93" i="15"/>
  <c r="A7" i="14"/>
  <c r="A24" i="15"/>
  <c r="B43" i="15"/>
  <c r="A78" i="15"/>
  <c r="Q79" i="15" s="1"/>
  <c r="B6" i="15"/>
  <c r="B11" i="15"/>
  <c r="C19" i="15"/>
  <c r="D19" i="15" s="1"/>
  <c r="B24" i="15"/>
  <c r="B29" i="15"/>
  <c r="O43" i="15"/>
  <c r="O51" i="15"/>
  <c r="A74" i="15"/>
  <c r="Q77" i="15" s="1"/>
  <c r="B78" i="15"/>
  <c r="B83" i="15"/>
  <c r="A90" i="15"/>
  <c r="A124" i="15" s="1"/>
  <c r="M124" i="15" s="1"/>
  <c r="B95" i="15"/>
  <c r="B82" i="15"/>
  <c r="B89" i="15"/>
  <c r="B94" i="15"/>
  <c r="A6" i="15"/>
  <c r="Q7" i="15" s="1"/>
  <c r="A11" i="15"/>
  <c r="B19" i="15"/>
  <c r="C11" i="15"/>
  <c r="S11" i="15" s="1"/>
  <c r="B16" i="15"/>
  <c r="O19" i="15"/>
  <c r="A25" i="15"/>
  <c r="O29" i="15"/>
  <c r="O33" i="15"/>
  <c r="O39" i="15"/>
  <c r="O44" i="15"/>
  <c r="O57" i="15"/>
  <c r="O63" i="15"/>
  <c r="O68" i="15"/>
  <c r="B74" i="15"/>
  <c r="B84" i="15"/>
  <c r="B90" i="15"/>
  <c r="B96" i="15"/>
  <c r="Q39" i="15"/>
  <c r="B52" i="15"/>
  <c r="B64" i="15"/>
  <c r="B85" i="15"/>
  <c r="B97" i="15"/>
  <c r="B7" i="15"/>
  <c r="B12" i="15"/>
  <c r="A17" i="15"/>
  <c r="O20" i="15"/>
  <c r="O25" i="15"/>
  <c r="B30" i="15"/>
  <c r="B34" i="15"/>
  <c r="B40" i="15"/>
  <c r="B46" i="15"/>
  <c r="O52" i="15"/>
  <c r="B58" i="15"/>
  <c r="O64" i="15"/>
  <c r="O85" i="15"/>
  <c r="O97" i="15"/>
  <c r="A13" i="15"/>
  <c r="A21" i="15"/>
  <c r="B53" i="15"/>
  <c r="B65" i="15"/>
  <c r="B79" i="15"/>
  <c r="A86" i="15"/>
  <c r="Q87" i="15" s="1"/>
  <c r="B91" i="15"/>
  <c r="B98" i="15"/>
  <c r="A8" i="15"/>
  <c r="B13" i="15"/>
  <c r="C17" i="15"/>
  <c r="D17" i="15" s="1"/>
  <c r="O21" i="15"/>
  <c r="B26" i="15"/>
  <c r="B35" i="15"/>
  <c r="B47" i="15"/>
  <c r="O53" i="15"/>
  <c r="B59" i="15"/>
  <c r="O65" i="15"/>
  <c r="O79" i="15"/>
  <c r="B86" i="15"/>
  <c r="O91" i="15"/>
  <c r="B36" i="15"/>
  <c r="A54" i="15"/>
  <c r="A56" i="15" s="1"/>
  <c r="B60" i="15"/>
  <c r="B70" i="15"/>
  <c r="B76" i="15"/>
  <c r="A9" i="15"/>
  <c r="A14" i="15"/>
  <c r="Q15" i="15" s="1"/>
  <c r="A18" i="15"/>
  <c r="Q19" i="15" s="1"/>
  <c r="B22" i="15"/>
  <c r="B31" i="15"/>
  <c r="B37" i="15"/>
  <c r="O41" i="15"/>
  <c r="B49" i="15"/>
  <c r="B54" i="15"/>
  <c r="B61" i="15"/>
  <c r="B66" i="15"/>
  <c r="O76" i="15"/>
  <c r="O87" i="15"/>
  <c r="B100" i="15"/>
  <c r="B17" i="15"/>
  <c r="A26" i="15"/>
  <c r="A108" i="15" s="1"/>
  <c r="M108" i="15" s="1"/>
  <c r="B41" i="15"/>
  <c r="B48" i="15"/>
  <c r="A66" i="15"/>
  <c r="A67" i="15" s="1"/>
  <c r="B99" i="15"/>
  <c r="O9" i="15"/>
  <c r="B14" i="15"/>
  <c r="B18" i="15"/>
  <c r="O27" i="15"/>
  <c r="O31" i="15"/>
  <c r="O37" i="15"/>
  <c r="A42" i="15"/>
  <c r="A112" i="15" s="1"/>
  <c r="M112" i="15" s="1"/>
  <c r="O49" i="15"/>
  <c r="O61" i="15"/>
  <c r="B71" i="15"/>
  <c r="B88" i="15"/>
  <c r="B101" i="15"/>
  <c r="C61" i="15"/>
  <c r="S58" i="15"/>
  <c r="C60" i="15"/>
  <c r="C59" i="15"/>
  <c r="C116" i="15"/>
  <c r="D58" i="15"/>
  <c r="C6" i="15"/>
  <c r="D15" i="15"/>
  <c r="C24" i="15"/>
  <c r="S17" i="15"/>
  <c r="C22" i="15"/>
  <c r="Q40" i="15"/>
  <c r="Q41" i="15"/>
  <c r="A40" i="15"/>
  <c r="A111" i="15"/>
  <c r="M111" i="15" s="1"/>
  <c r="A120" i="15"/>
  <c r="M120" i="15" s="1"/>
  <c r="C20" i="15"/>
  <c r="C8" i="15"/>
  <c r="C90" i="15"/>
  <c r="C25" i="15"/>
  <c r="C13" i="15"/>
  <c r="C86" i="15"/>
  <c r="C74" i="15"/>
  <c r="C62" i="15"/>
  <c r="C50" i="15"/>
  <c r="C38" i="15"/>
  <c r="C26" i="15"/>
  <c r="C14" i="15"/>
  <c r="C54" i="15"/>
  <c r="D3" i="15"/>
  <c r="C16" i="15"/>
  <c r="C34" i="15"/>
  <c r="C70" i="15"/>
  <c r="C7" i="15"/>
  <c r="C18" i="15"/>
  <c r="Q54" i="15"/>
  <c r="Q9" i="15"/>
  <c r="C23" i="15"/>
  <c r="A57" i="15"/>
  <c r="Q81" i="15"/>
  <c r="C9" i="15"/>
  <c r="C12" i="15"/>
  <c r="C21" i="15"/>
  <c r="C30" i="15"/>
  <c r="C66" i="15"/>
  <c r="C10" i="15"/>
  <c r="C46" i="15"/>
  <c r="Q50" i="15"/>
  <c r="Q64" i="15"/>
  <c r="Q65" i="15"/>
  <c r="A64" i="15"/>
  <c r="C82" i="15"/>
  <c r="C98" i="15"/>
  <c r="A80" i="15"/>
  <c r="C94" i="15"/>
  <c r="C42" i="15"/>
  <c r="A65" i="15"/>
  <c r="C78" i="15"/>
  <c r="B9" i="15"/>
  <c r="O12" i="15"/>
  <c r="A16" i="15"/>
  <c r="B21" i="15"/>
  <c r="O24" i="15"/>
  <c r="B33" i="15"/>
  <c r="O36" i="15"/>
  <c r="B45" i="15"/>
  <c r="O48" i="15"/>
  <c r="B57" i="15"/>
  <c r="O60" i="15"/>
  <c r="B69" i="15"/>
  <c r="O72" i="15"/>
  <c r="B81" i="15"/>
  <c r="O84" i="15"/>
  <c r="B93" i="15"/>
  <c r="O96" i="15"/>
  <c r="O100" i="15"/>
  <c r="B103" i="15"/>
  <c r="B105" i="15"/>
  <c r="B107" i="15"/>
  <c r="B109" i="15"/>
  <c r="B111" i="15"/>
  <c r="B113" i="15"/>
  <c r="B115" i="15"/>
  <c r="B117" i="15"/>
  <c r="B119" i="15"/>
  <c r="B121" i="15"/>
  <c r="B123" i="15"/>
  <c r="B125" i="15"/>
  <c r="B8" i="15"/>
  <c r="O11" i="15"/>
  <c r="A15" i="15"/>
  <c r="B20" i="15"/>
  <c r="O23" i="15"/>
  <c r="B32" i="15"/>
  <c r="O35" i="15"/>
  <c r="B44" i="15"/>
  <c r="O47" i="15"/>
  <c r="B56" i="15"/>
  <c r="O59" i="15"/>
  <c r="B68" i="15"/>
  <c r="O71" i="15"/>
  <c r="B80" i="15"/>
  <c r="O83" i="15"/>
  <c r="B92" i="15"/>
  <c r="O95" i="15"/>
  <c r="A10" i="15"/>
  <c r="B15" i="15"/>
  <c r="A22" i="15"/>
  <c r="B27" i="15"/>
  <c r="A34" i="15"/>
  <c r="B39" i="15"/>
  <c r="A46" i="15"/>
  <c r="B51" i="15"/>
  <c r="A58" i="15"/>
  <c r="B63" i="15"/>
  <c r="A70" i="15"/>
  <c r="B75" i="15"/>
  <c r="A82" i="15"/>
  <c r="B87" i="15"/>
  <c r="A94" i="15"/>
  <c r="A98" i="15"/>
  <c r="B104" i="15"/>
  <c r="B106" i="15"/>
  <c r="B108" i="15"/>
  <c r="B110" i="15"/>
  <c r="B112" i="15"/>
  <c r="B114" i="15"/>
  <c r="B116" i="15"/>
  <c r="B118" i="15"/>
  <c r="B120" i="15"/>
  <c r="B122" i="15"/>
  <c r="B124" i="15"/>
  <c r="A10" i="14"/>
  <c r="A68" i="15" l="1"/>
  <c r="A28" i="15"/>
  <c r="Q6" i="15"/>
  <c r="Q33" i="15"/>
  <c r="A103" i="15"/>
  <c r="M103" i="15" s="1"/>
  <c r="A52" i="15"/>
  <c r="A51" i="15"/>
  <c r="Q52" i="15"/>
  <c r="Q8" i="15"/>
  <c r="A76" i="15"/>
  <c r="A31" i="15"/>
  <c r="A75" i="15"/>
  <c r="Q76" i="15"/>
  <c r="Q55" i="15"/>
  <c r="Q29" i="15"/>
  <c r="A27" i="15"/>
  <c r="A55" i="15"/>
  <c r="A45" i="15"/>
  <c r="D11" i="15"/>
  <c r="S19" i="15"/>
  <c r="Q86" i="15"/>
  <c r="Q14" i="15"/>
  <c r="Q45" i="15"/>
  <c r="Q93" i="15"/>
  <c r="A39" i="15"/>
  <c r="A92" i="15"/>
  <c r="A117" i="15"/>
  <c r="M117" i="15" s="1"/>
  <c r="Q53" i="15"/>
  <c r="Q30" i="15"/>
  <c r="Q32" i="15"/>
  <c r="Q62" i="15"/>
  <c r="A63" i="15"/>
  <c r="A53" i="15"/>
  <c r="A32" i="15"/>
  <c r="A114" i="15"/>
  <c r="M114" i="15" s="1"/>
  <c r="Q38" i="15"/>
  <c r="Q20" i="15"/>
  <c r="A105" i="15"/>
  <c r="M105" i="15" s="1"/>
  <c r="A91" i="15"/>
  <c r="Q18" i="15"/>
  <c r="Q17" i="15"/>
  <c r="A89" i="15"/>
  <c r="A109" i="15"/>
  <c r="M109" i="15" s="1"/>
  <c r="Q31" i="15"/>
  <c r="A123" i="15"/>
  <c r="M123" i="15" s="1"/>
  <c r="A88" i="15"/>
  <c r="Q16" i="15"/>
  <c r="Q91" i="15"/>
  <c r="Q89" i="15"/>
  <c r="A87" i="15"/>
  <c r="Q88" i="15"/>
  <c r="A24" i="14"/>
  <c r="A22" i="14"/>
  <c r="A21" i="14"/>
  <c r="A17" i="14"/>
  <c r="A15" i="14"/>
  <c r="A14" i="14"/>
  <c r="A13" i="14"/>
  <c r="A20" i="14"/>
  <c r="Q28" i="15"/>
  <c r="Q43" i="15"/>
  <c r="A44" i="15"/>
  <c r="A118" i="15"/>
  <c r="M118" i="15" s="1"/>
  <c r="Q69" i="15"/>
  <c r="A69" i="15"/>
  <c r="Q68" i="15"/>
  <c r="Q66" i="15"/>
  <c r="Q67" i="15"/>
  <c r="A115" i="15"/>
  <c r="M115" i="15" s="1"/>
  <c r="Q57" i="15"/>
  <c r="Q56" i="15"/>
  <c r="A43" i="15"/>
  <c r="Q44" i="15"/>
  <c r="Q27" i="15"/>
  <c r="Q26" i="15"/>
  <c r="A29" i="15"/>
  <c r="A106" i="15"/>
  <c r="M106" i="15" s="1"/>
  <c r="Q21" i="15"/>
  <c r="A93" i="15"/>
  <c r="Q92" i="15"/>
  <c r="Q90" i="15"/>
  <c r="Q42" i="15"/>
  <c r="A121" i="15"/>
  <c r="M121" i="15" s="1"/>
  <c r="A81" i="15"/>
  <c r="Q80" i="15"/>
  <c r="A79" i="15"/>
  <c r="Q78" i="15"/>
  <c r="A77" i="15"/>
  <c r="Q75" i="15"/>
  <c r="Q74" i="15"/>
  <c r="S21" i="15"/>
  <c r="D21" i="15"/>
  <c r="C37" i="15"/>
  <c r="S34" i="15"/>
  <c r="C36" i="15"/>
  <c r="C110" i="15"/>
  <c r="D34" i="15"/>
  <c r="C35" i="15"/>
  <c r="D13" i="15"/>
  <c r="S13" i="15"/>
  <c r="S74" i="15"/>
  <c r="C75" i="15"/>
  <c r="C77" i="15"/>
  <c r="C120" i="15"/>
  <c r="D74" i="15"/>
  <c r="C76" i="15"/>
  <c r="S10" i="15"/>
  <c r="C104" i="15"/>
  <c r="D10" i="15"/>
  <c r="D12" i="15"/>
  <c r="S12" i="15"/>
  <c r="S16" i="15"/>
  <c r="D16" i="15"/>
  <c r="D25" i="15"/>
  <c r="S25" i="15"/>
  <c r="Q47" i="15"/>
  <c r="A113" i="15"/>
  <c r="M113" i="15" s="1"/>
  <c r="A49" i="15"/>
  <c r="Q46" i="15"/>
  <c r="A48" i="15"/>
  <c r="Q49" i="15"/>
  <c r="Q48" i="15"/>
  <c r="A47" i="15"/>
  <c r="C92" i="15"/>
  <c r="D90" i="15"/>
  <c r="C91" i="15"/>
  <c r="S90" i="15"/>
  <c r="C124" i="15"/>
  <c r="C93" i="15"/>
  <c r="D6" i="15"/>
  <c r="S6" i="15"/>
  <c r="C103" i="15"/>
  <c r="C44" i="15"/>
  <c r="D42" i="15"/>
  <c r="S42" i="15"/>
  <c r="C45" i="15"/>
  <c r="C43" i="15"/>
  <c r="C112" i="15"/>
  <c r="S9" i="15"/>
  <c r="D9" i="15"/>
  <c r="D18" i="15"/>
  <c r="S18" i="15"/>
  <c r="C106" i="15"/>
  <c r="C56" i="15"/>
  <c r="D54" i="15"/>
  <c r="C115" i="15"/>
  <c r="C57" i="15"/>
  <c r="S54" i="15"/>
  <c r="C55" i="15"/>
  <c r="Q99" i="15"/>
  <c r="A126" i="15"/>
  <c r="M126" i="15" s="1"/>
  <c r="Q98" i="15"/>
  <c r="A101" i="15"/>
  <c r="Q100" i="15"/>
  <c r="A100" i="15"/>
  <c r="Q101" i="15"/>
  <c r="A99" i="15"/>
  <c r="Q35" i="15"/>
  <c r="A110" i="15"/>
  <c r="M110" i="15" s="1"/>
  <c r="A35" i="15"/>
  <c r="A37" i="15"/>
  <c r="Q34" i="15"/>
  <c r="Q36" i="15"/>
  <c r="A36" i="15"/>
  <c r="Q37" i="15"/>
  <c r="S14" i="15"/>
  <c r="D14" i="15"/>
  <c r="C105" i="15"/>
  <c r="S8" i="15"/>
  <c r="D8" i="15"/>
  <c r="O116" i="15"/>
  <c r="D116" i="15"/>
  <c r="C87" i="15"/>
  <c r="C89" i="15"/>
  <c r="S86" i="15"/>
  <c r="D86" i="15"/>
  <c r="C88" i="15"/>
  <c r="C123" i="15"/>
  <c r="S24" i="15"/>
  <c r="D24" i="15"/>
  <c r="C108" i="15"/>
  <c r="C28" i="15"/>
  <c r="D26" i="15"/>
  <c r="C27" i="15"/>
  <c r="C29" i="15"/>
  <c r="S26" i="15"/>
  <c r="S20" i="15"/>
  <c r="D20" i="15"/>
  <c r="S59" i="15"/>
  <c r="D59" i="15"/>
  <c r="S23" i="15"/>
  <c r="D23" i="15"/>
  <c r="C85" i="15"/>
  <c r="S82" i="15"/>
  <c r="C122" i="15"/>
  <c r="D82" i="15"/>
  <c r="C84" i="15"/>
  <c r="C83" i="15"/>
  <c r="C32" i="15"/>
  <c r="D30" i="15"/>
  <c r="C33" i="15"/>
  <c r="C109" i="15"/>
  <c r="C31" i="15"/>
  <c r="S30" i="15"/>
  <c r="Q59" i="15"/>
  <c r="A116" i="15"/>
  <c r="M116" i="15" s="1"/>
  <c r="A61" i="15"/>
  <c r="Q58" i="15"/>
  <c r="Q61" i="15"/>
  <c r="A59" i="15"/>
  <c r="A60" i="15"/>
  <c r="Q60" i="15"/>
  <c r="Q95" i="15"/>
  <c r="A125" i="15"/>
  <c r="M125" i="15" s="1"/>
  <c r="A97" i="15"/>
  <c r="Q96" i="15"/>
  <c r="A96" i="15"/>
  <c r="Q97" i="15"/>
  <c r="A95" i="15"/>
  <c r="Q94" i="15"/>
  <c r="Q23" i="15"/>
  <c r="A107" i="15"/>
  <c r="M107" i="15" s="1"/>
  <c r="Q25" i="15"/>
  <c r="Q22" i="15"/>
  <c r="Q24" i="15"/>
  <c r="C97" i="15"/>
  <c r="S94" i="15"/>
  <c r="C125" i="15"/>
  <c r="D94" i="15"/>
  <c r="C96" i="15"/>
  <c r="C95" i="15"/>
  <c r="C49" i="15"/>
  <c r="S46" i="15"/>
  <c r="C48" i="15"/>
  <c r="D46" i="15"/>
  <c r="C113" i="15"/>
  <c r="C47" i="15"/>
  <c r="D7" i="15"/>
  <c r="S7" i="15"/>
  <c r="C73" i="15"/>
  <c r="S70" i="15"/>
  <c r="C71" i="15"/>
  <c r="D70" i="15"/>
  <c r="C72" i="15"/>
  <c r="C111" i="15"/>
  <c r="C39" i="15"/>
  <c r="C41" i="15"/>
  <c r="S38" i="15"/>
  <c r="D38" i="15"/>
  <c r="C40" i="15"/>
  <c r="S60" i="15"/>
  <c r="D60" i="15"/>
  <c r="C68" i="15"/>
  <c r="D66" i="15"/>
  <c r="C69" i="15"/>
  <c r="C67" i="15"/>
  <c r="S66" i="15"/>
  <c r="S50" i="15"/>
  <c r="C114" i="15"/>
  <c r="D50" i="15"/>
  <c r="C52" i="15"/>
  <c r="C51" i="15"/>
  <c r="C53" i="15"/>
  <c r="S22" i="15"/>
  <c r="C107" i="15"/>
  <c r="D22" i="15"/>
  <c r="Q71" i="15"/>
  <c r="A119" i="15"/>
  <c r="M119" i="15" s="1"/>
  <c r="Q73" i="15"/>
  <c r="A71" i="15"/>
  <c r="A73" i="15"/>
  <c r="Q70" i="15"/>
  <c r="Q72" i="15"/>
  <c r="A72" i="15"/>
  <c r="C80" i="15"/>
  <c r="D78" i="15"/>
  <c r="C121" i="15"/>
  <c r="C79" i="15"/>
  <c r="S78" i="15"/>
  <c r="C81" i="15"/>
  <c r="Q83" i="15"/>
  <c r="A122" i="15"/>
  <c r="M122" i="15" s="1"/>
  <c r="A85" i="15"/>
  <c r="Q82" i="15"/>
  <c r="Q84" i="15"/>
  <c r="A84" i="15"/>
  <c r="Q85" i="15"/>
  <c r="A83" i="15"/>
  <c r="Q11" i="15"/>
  <c r="A104" i="15"/>
  <c r="M104" i="15" s="1"/>
  <c r="Q13" i="15"/>
  <c r="Q12" i="15"/>
  <c r="Q10" i="15"/>
  <c r="C101" i="15"/>
  <c r="S98" i="15"/>
  <c r="D98" i="15"/>
  <c r="C126" i="15"/>
  <c r="C100" i="15"/>
  <c r="C99" i="15"/>
  <c r="C64" i="15"/>
  <c r="C117" i="15"/>
  <c r="C63" i="15"/>
  <c r="C65" i="15"/>
  <c r="S62" i="15"/>
  <c r="D62" i="15"/>
  <c r="D61" i="15"/>
  <c r="S61" i="15"/>
  <c r="D40" i="1"/>
  <c r="D39" i="1"/>
  <c r="D38" i="1"/>
  <c r="D125" i="2"/>
  <c r="O103" i="15" l="1"/>
  <c r="D103" i="15"/>
  <c r="O106" i="15"/>
  <c r="D106" i="15"/>
  <c r="D32" i="15"/>
  <c r="S32" i="15"/>
  <c r="D27" i="15"/>
  <c r="S27" i="15"/>
  <c r="D95" i="15"/>
  <c r="S95" i="15"/>
  <c r="O122" i="15"/>
  <c r="D122" i="15"/>
  <c r="S93" i="15"/>
  <c r="D93" i="15"/>
  <c r="O114" i="15"/>
  <c r="D114" i="15"/>
  <c r="D89" i="15"/>
  <c r="S89" i="15"/>
  <c r="O111" i="15"/>
  <c r="D111" i="15"/>
  <c r="D87" i="15"/>
  <c r="S87" i="15"/>
  <c r="S72" i="15"/>
  <c r="D72" i="15"/>
  <c r="S96" i="15"/>
  <c r="D96" i="15"/>
  <c r="O124" i="15"/>
  <c r="D124" i="15"/>
  <c r="D35" i="15"/>
  <c r="S35" i="15"/>
  <c r="D39" i="15"/>
  <c r="S39" i="15"/>
  <c r="S75" i="15"/>
  <c r="D75" i="15"/>
  <c r="S84" i="15"/>
  <c r="D84" i="15"/>
  <c r="D67" i="15"/>
  <c r="S67" i="15"/>
  <c r="C118" i="15"/>
  <c r="S63" i="15"/>
  <c r="D63" i="15"/>
  <c r="D79" i="15"/>
  <c r="S79" i="15"/>
  <c r="D71" i="15"/>
  <c r="S71" i="15"/>
  <c r="S28" i="15"/>
  <c r="D28" i="15"/>
  <c r="O117" i="15"/>
  <c r="D117" i="15"/>
  <c r="O121" i="15"/>
  <c r="D121" i="15"/>
  <c r="O107" i="15"/>
  <c r="D107" i="15"/>
  <c r="D68" i="15"/>
  <c r="S68" i="15"/>
  <c r="D85" i="15"/>
  <c r="S85" i="15"/>
  <c r="D108" i="15"/>
  <c r="O108" i="15"/>
  <c r="S83" i="15"/>
  <c r="D83" i="15"/>
  <c r="S56" i="15"/>
  <c r="D56" i="15"/>
  <c r="S81" i="15"/>
  <c r="D81" i="15"/>
  <c r="S64" i="15"/>
  <c r="C119" i="15"/>
  <c r="D64" i="15"/>
  <c r="D73" i="15"/>
  <c r="S73" i="15"/>
  <c r="O125" i="15"/>
  <c r="D125" i="15"/>
  <c r="O105" i="15"/>
  <c r="D105" i="15"/>
  <c r="O112" i="15"/>
  <c r="D112" i="15"/>
  <c r="D91" i="15"/>
  <c r="S91" i="15"/>
  <c r="O104" i="15"/>
  <c r="D104" i="15"/>
  <c r="O110" i="15"/>
  <c r="D110" i="15"/>
  <c r="D48" i="15"/>
  <c r="S48" i="15"/>
  <c r="D29" i="15"/>
  <c r="S29" i="15"/>
  <c r="D49" i="15"/>
  <c r="S49" i="15"/>
  <c r="D65" i="15"/>
  <c r="S65" i="15"/>
  <c r="S69" i="15"/>
  <c r="D69" i="15"/>
  <c r="D99" i="15"/>
  <c r="S99" i="15"/>
  <c r="D80" i="15"/>
  <c r="S80" i="15"/>
  <c r="S53" i="15"/>
  <c r="D53" i="15"/>
  <c r="D31" i="15"/>
  <c r="S31" i="15"/>
  <c r="D55" i="15"/>
  <c r="S55" i="15"/>
  <c r="D43" i="15"/>
  <c r="S43" i="15"/>
  <c r="S36" i="15"/>
  <c r="D36" i="15"/>
  <c r="D101" i="15"/>
  <c r="S101" i="15"/>
  <c r="D97" i="15"/>
  <c r="S97" i="15"/>
  <c r="S92" i="15"/>
  <c r="D92" i="15"/>
  <c r="S45" i="15"/>
  <c r="D45" i="15"/>
  <c r="S76" i="15"/>
  <c r="D76" i="15"/>
  <c r="S33" i="15"/>
  <c r="D33" i="15"/>
  <c r="S88" i="15"/>
  <c r="D88" i="15"/>
  <c r="S57" i="15"/>
  <c r="D57" i="15"/>
  <c r="D37" i="15"/>
  <c r="S37" i="15"/>
  <c r="S41" i="15"/>
  <c r="D41" i="15"/>
  <c r="S100" i="15"/>
  <c r="D100" i="15"/>
  <c r="D51" i="15"/>
  <c r="S51" i="15"/>
  <c r="S40" i="15"/>
  <c r="D40" i="15"/>
  <c r="O109" i="15"/>
  <c r="D109" i="15"/>
  <c r="O123" i="15"/>
  <c r="D123" i="15"/>
  <c r="O126" i="15"/>
  <c r="D126" i="15"/>
  <c r="S52" i="15"/>
  <c r="D52" i="15"/>
  <c r="D47" i="15"/>
  <c r="S47" i="15"/>
  <c r="O113" i="15"/>
  <c r="D113" i="15"/>
  <c r="O115" i="15"/>
  <c r="D115" i="15"/>
  <c r="O120" i="15"/>
  <c r="D120" i="15"/>
  <c r="S44" i="15"/>
  <c r="D44" i="15"/>
  <c r="S77" i="15"/>
  <c r="D77" i="15"/>
  <c r="C43" i="8"/>
  <c r="AV43" i="8" s="1"/>
  <c r="B43" i="8"/>
  <c r="C41" i="8"/>
  <c r="D41" i="8" s="1"/>
  <c r="B41" i="8"/>
  <c r="D81" i="8"/>
  <c r="D79" i="8"/>
  <c r="O119" i="15" l="1"/>
  <c r="D119" i="15"/>
  <c r="D118" i="15"/>
  <c r="O118" i="15"/>
  <c r="AV41" i="8"/>
  <c r="D43" i="8"/>
  <c r="Q14" i="7"/>
  <c r="Q62" i="13" l="1"/>
  <c r="P62" i="4"/>
  <c r="Q156" i="2"/>
  <c r="Q144" i="2"/>
  <c r="Q49" i="1"/>
  <c r="B24" i="14" l="1"/>
  <c r="B17" i="14"/>
  <c r="B10" i="14"/>
  <c r="K24" i="14"/>
  <c r="C24" i="14"/>
  <c r="D24" i="14" s="1"/>
  <c r="D23" i="14"/>
  <c r="O22" i="14"/>
  <c r="C22" i="14"/>
  <c r="D22" i="14" s="1"/>
  <c r="B22" i="14"/>
  <c r="O21" i="14"/>
  <c r="C21" i="14"/>
  <c r="S21" i="14" s="1"/>
  <c r="B21" i="14"/>
  <c r="O20" i="14"/>
  <c r="C20" i="14"/>
  <c r="S20" i="14" s="1"/>
  <c r="B20" i="14"/>
  <c r="S19" i="14"/>
  <c r="O19" i="14"/>
  <c r="D19" i="14"/>
  <c r="B19" i="14"/>
  <c r="D18" i="14"/>
  <c r="K17" i="14"/>
  <c r="C17" i="14"/>
  <c r="D11" i="14"/>
  <c r="C10" i="14"/>
  <c r="O10" i="14" s="1"/>
  <c r="D9" i="14"/>
  <c r="S22" i="14" l="1"/>
  <c r="D21" i="14"/>
  <c r="O24" i="14"/>
  <c r="D20" i="14"/>
  <c r="M24" i="14"/>
  <c r="D10" i="14"/>
  <c r="D17" i="14"/>
  <c r="D16" i="14"/>
  <c r="O12" i="14"/>
  <c r="O15" i="14"/>
  <c r="C15" i="14"/>
  <c r="S15" i="14" s="1"/>
  <c r="B15" i="14"/>
  <c r="O14" i="14"/>
  <c r="C14" i="14"/>
  <c r="D14" i="14" s="1"/>
  <c r="B14" i="14"/>
  <c r="O13" i="14"/>
  <c r="C13" i="14"/>
  <c r="D13" i="14" s="1"/>
  <c r="B13" i="14"/>
  <c r="S12" i="14"/>
  <c r="D12" i="14"/>
  <c r="B12" i="14"/>
  <c r="O7" i="14"/>
  <c r="O8" i="14"/>
  <c r="O6" i="14"/>
  <c r="S5" i="14"/>
  <c r="B8" i="14"/>
  <c r="B7" i="14"/>
  <c r="B6" i="14"/>
  <c r="B5" i="14"/>
  <c r="D4" i="14"/>
  <c r="D3" i="14"/>
  <c r="D2" i="14"/>
  <c r="M17" i="14" l="1"/>
  <c r="M10" i="14"/>
  <c r="O17" i="14"/>
  <c r="D15" i="14"/>
  <c r="S14" i="14"/>
  <c r="S13" i="14"/>
  <c r="D5" i="14"/>
  <c r="C8" i="14"/>
  <c r="C6" i="14"/>
  <c r="C7" i="14"/>
  <c r="D6" i="10"/>
  <c r="D7" i="10"/>
  <c r="D25" i="10"/>
  <c r="AO8" i="12"/>
  <c r="AP7" i="12"/>
  <c r="AO7" i="12"/>
  <c r="AR8" i="12"/>
  <c r="AR7" i="12"/>
  <c r="K55" i="6"/>
  <c r="C55" i="6"/>
  <c r="O55" i="6" s="1"/>
  <c r="M55" i="6"/>
  <c r="B55" i="6"/>
  <c r="D121" i="2"/>
  <c r="D122" i="2"/>
  <c r="D123" i="2"/>
  <c r="D124" i="2"/>
  <c r="D126" i="2"/>
  <c r="D138" i="2"/>
  <c r="D168" i="2"/>
  <c r="D172" i="2"/>
  <c r="D173" i="2"/>
  <c r="D174" i="2"/>
  <c r="D175" i="2"/>
  <c r="D176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55" i="6" l="1"/>
  <c r="S7" i="14"/>
  <c r="D7" i="14"/>
  <c r="D6" i="14"/>
  <c r="S6" i="14"/>
  <c r="S8" i="14"/>
  <c r="D8" i="14"/>
  <c r="B6" i="10"/>
  <c r="Q26" i="11" l="1"/>
  <c r="Q25" i="11"/>
  <c r="Q24" i="11"/>
  <c r="Q23" i="11"/>
  <c r="K85" i="4"/>
  <c r="D3" i="2"/>
  <c r="D4" i="2"/>
  <c r="D84" i="13"/>
  <c r="D85" i="13"/>
  <c r="D91" i="1"/>
  <c r="D92" i="1"/>
  <c r="D93" i="1"/>
  <c r="D94" i="1"/>
  <c r="D70" i="1"/>
  <c r="D71" i="1"/>
  <c r="D72" i="1"/>
  <c r="D130" i="13"/>
  <c r="D131" i="13"/>
  <c r="D132" i="13"/>
  <c r="D133" i="13"/>
  <c r="D134" i="13"/>
  <c r="D135" i="13"/>
  <c r="D136" i="13"/>
  <c r="D137" i="13"/>
  <c r="D138" i="13"/>
  <c r="D139" i="13"/>
  <c r="D140" i="13"/>
  <c r="D141" i="13"/>
  <c r="D142" i="13"/>
  <c r="D143" i="13"/>
  <c r="D144" i="13"/>
  <c r="D112" i="13"/>
  <c r="D113" i="13"/>
  <c r="D114" i="13"/>
  <c r="D106" i="13"/>
  <c r="D107" i="13"/>
  <c r="D108" i="13"/>
  <c r="D109" i="13"/>
  <c r="D110" i="13"/>
  <c r="D82" i="13"/>
  <c r="B81" i="13"/>
  <c r="C81" i="13"/>
  <c r="AV81" i="13" s="1"/>
  <c r="C80" i="13"/>
  <c r="AV80" i="13" s="1"/>
  <c r="AR81" i="13"/>
  <c r="Q37" i="13"/>
  <c r="Q39" i="13"/>
  <c r="Q38" i="13"/>
  <c r="AR45" i="13"/>
  <c r="AR46" i="13"/>
  <c r="AR47" i="13"/>
  <c r="AR48" i="13"/>
  <c r="AR49" i="13"/>
  <c r="AR50" i="13"/>
  <c r="AR51" i="13"/>
  <c r="AR52" i="13"/>
  <c r="AR53" i="13"/>
  <c r="AR54" i="13"/>
  <c r="AR55" i="13"/>
  <c r="AR56" i="13"/>
  <c r="AR57" i="13"/>
  <c r="AR58" i="13"/>
  <c r="C58" i="13"/>
  <c r="D58" i="13" s="1"/>
  <c r="C57" i="13"/>
  <c r="D57" i="13" s="1"/>
  <c r="C56" i="13"/>
  <c r="D56" i="13" s="1"/>
  <c r="C55" i="13"/>
  <c r="AV55" i="13" s="1"/>
  <c r="C54" i="13"/>
  <c r="AV54" i="13" s="1"/>
  <c r="C53" i="13"/>
  <c r="D53" i="13" s="1"/>
  <c r="C52" i="13"/>
  <c r="D52" i="13" s="1"/>
  <c r="C51" i="13"/>
  <c r="AV51" i="13" s="1"/>
  <c r="C50" i="13"/>
  <c r="D50" i="13" s="1"/>
  <c r="C49" i="13"/>
  <c r="D49" i="13" s="1"/>
  <c r="C48" i="13"/>
  <c r="AV48" i="13" s="1"/>
  <c r="C47" i="13"/>
  <c r="D47" i="13" s="1"/>
  <c r="C46" i="13"/>
  <c r="AV46" i="13" s="1"/>
  <c r="C45" i="13"/>
  <c r="D45" i="13" s="1"/>
  <c r="B45" i="13"/>
  <c r="B46" i="13"/>
  <c r="B47" i="13"/>
  <c r="B48" i="13"/>
  <c r="B49" i="13"/>
  <c r="B50" i="13"/>
  <c r="B51" i="13"/>
  <c r="B52" i="13"/>
  <c r="B53" i="13"/>
  <c r="B54" i="13"/>
  <c r="B55" i="13"/>
  <c r="B56" i="13"/>
  <c r="B57" i="13"/>
  <c r="B58" i="13"/>
  <c r="O36" i="13"/>
  <c r="O37" i="13"/>
  <c r="O38" i="13"/>
  <c r="O39" i="13"/>
  <c r="C39" i="13"/>
  <c r="S39" i="13" s="1"/>
  <c r="C38" i="13"/>
  <c r="D38" i="13" s="1"/>
  <c r="C37" i="13"/>
  <c r="D37" i="13" s="1"/>
  <c r="B37" i="13"/>
  <c r="B38" i="13"/>
  <c r="B39" i="13"/>
  <c r="D59" i="13"/>
  <c r="D149" i="13"/>
  <c r="D148" i="13"/>
  <c r="D147" i="13"/>
  <c r="D146" i="13"/>
  <c r="D145" i="13"/>
  <c r="D129" i="13"/>
  <c r="D128" i="13"/>
  <c r="D127" i="13"/>
  <c r="D126" i="13"/>
  <c r="D125" i="13"/>
  <c r="D124" i="13"/>
  <c r="D123" i="13"/>
  <c r="D122" i="13"/>
  <c r="D121" i="13"/>
  <c r="D120" i="13"/>
  <c r="D119" i="13"/>
  <c r="D118" i="13"/>
  <c r="D117" i="13"/>
  <c r="D116" i="13"/>
  <c r="D115" i="13"/>
  <c r="D111" i="13"/>
  <c r="D105" i="13"/>
  <c r="D104" i="13"/>
  <c r="D103" i="13"/>
  <c r="D102" i="13"/>
  <c r="D101" i="13"/>
  <c r="D100" i="13"/>
  <c r="D99" i="13"/>
  <c r="D98" i="13"/>
  <c r="D97" i="13"/>
  <c r="D96" i="13"/>
  <c r="D95" i="13"/>
  <c r="D94" i="13"/>
  <c r="D93" i="13"/>
  <c r="K92" i="13"/>
  <c r="C92" i="13"/>
  <c r="O92" i="13" s="1"/>
  <c r="B92" i="13"/>
  <c r="M92" i="13"/>
  <c r="K91" i="13"/>
  <c r="C91" i="13"/>
  <c r="O91" i="13" s="1"/>
  <c r="B91" i="13"/>
  <c r="M91" i="13"/>
  <c r="K90" i="13"/>
  <c r="C90" i="13"/>
  <c r="O90" i="13" s="1"/>
  <c r="B90" i="13"/>
  <c r="M90" i="13"/>
  <c r="K89" i="13"/>
  <c r="C89" i="13"/>
  <c r="D89" i="13" s="1"/>
  <c r="B89" i="13"/>
  <c r="M89" i="13"/>
  <c r="K88" i="13"/>
  <c r="C88" i="13"/>
  <c r="D88" i="13" s="1"/>
  <c r="B88" i="13"/>
  <c r="M88" i="13"/>
  <c r="C87" i="13"/>
  <c r="D87" i="13" s="1"/>
  <c r="B87" i="13"/>
  <c r="M87" i="13"/>
  <c r="C83" i="13"/>
  <c r="D83" i="13" s="1"/>
  <c r="B83" i="13"/>
  <c r="AT80" i="13"/>
  <c r="AR80" i="13"/>
  <c r="O80" i="13"/>
  <c r="AP80" i="13" s="1"/>
  <c r="N80" i="13"/>
  <c r="M80" i="13" s="1"/>
  <c r="B80" i="13"/>
  <c r="AT79" i="13"/>
  <c r="AR79" i="13"/>
  <c r="AP79" i="13"/>
  <c r="AO79" i="13"/>
  <c r="M79" i="13"/>
  <c r="C79" i="13"/>
  <c r="D79" i="13" s="1"/>
  <c r="B79" i="13"/>
  <c r="AT78" i="13"/>
  <c r="AR78" i="13"/>
  <c r="AP78" i="13"/>
  <c r="AO78" i="13"/>
  <c r="M78" i="13"/>
  <c r="C78" i="13"/>
  <c r="AV78" i="13" s="1"/>
  <c r="B78" i="13"/>
  <c r="AT77" i="13"/>
  <c r="AR77" i="13"/>
  <c r="AP77" i="13"/>
  <c r="AO77" i="13"/>
  <c r="M77" i="13"/>
  <c r="C77" i="13"/>
  <c r="D77" i="13" s="1"/>
  <c r="B77" i="13"/>
  <c r="AT76" i="13"/>
  <c r="AR76" i="13"/>
  <c r="O76" i="13"/>
  <c r="AP76" i="13" s="1"/>
  <c r="N76" i="13"/>
  <c r="M76" i="13" s="1"/>
  <c r="C76" i="13"/>
  <c r="AV76" i="13" s="1"/>
  <c r="B76" i="13"/>
  <c r="AT75" i="13"/>
  <c r="AR75" i="13"/>
  <c r="O75" i="13"/>
  <c r="AP75" i="13" s="1"/>
  <c r="N75" i="13"/>
  <c r="M75" i="13" s="1"/>
  <c r="C75" i="13"/>
  <c r="AV75" i="13" s="1"/>
  <c r="B75" i="13"/>
  <c r="AT74" i="13"/>
  <c r="AR74" i="13"/>
  <c r="O74" i="13"/>
  <c r="AP74" i="13" s="1"/>
  <c r="N74" i="13"/>
  <c r="AO74" i="13" s="1"/>
  <c r="C74" i="13"/>
  <c r="AV74" i="13" s="1"/>
  <c r="B74" i="13"/>
  <c r="AT73" i="13"/>
  <c r="AR73" i="13"/>
  <c r="AP73" i="13"/>
  <c r="AO73" i="13"/>
  <c r="M73" i="13"/>
  <c r="C73" i="13"/>
  <c r="AV73" i="13" s="1"/>
  <c r="B73" i="13"/>
  <c r="AT72" i="13"/>
  <c r="AR72" i="13"/>
  <c r="O72" i="13"/>
  <c r="AP72" i="13" s="1"/>
  <c r="N72" i="13"/>
  <c r="AO72" i="13" s="1"/>
  <c r="C72" i="13"/>
  <c r="AV72" i="13" s="1"/>
  <c r="B72" i="13"/>
  <c r="AT71" i="13"/>
  <c r="AR71" i="13"/>
  <c r="O71" i="13"/>
  <c r="AP71" i="13" s="1"/>
  <c r="N71" i="13"/>
  <c r="AO71" i="13" s="1"/>
  <c r="C71" i="13"/>
  <c r="AV71" i="13" s="1"/>
  <c r="B71" i="13"/>
  <c r="AT70" i="13"/>
  <c r="AR70" i="13"/>
  <c r="O70" i="13"/>
  <c r="AP70" i="13" s="1"/>
  <c r="N70" i="13"/>
  <c r="M70" i="13" s="1"/>
  <c r="C70" i="13"/>
  <c r="D70" i="13" s="1"/>
  <c r="B70" i="13"/>
  <c r="AT69" i="13"/>
  <c r="AR69" i="13"/>
  <c r="O69" i="13"/>
  <c r="AP69" i="13" s="1"/>
  <c r="N69" i="13"/>
  <c r="AO69" i="13" s="1"/>
  <c r="C69" i="13"/>
  <c r="AV69" i="13" s="1"/>
  <c r="B69" i="13"/>
  <c r="AT68" i="13"/>
  <c r="AR68" i="13"/>
  <c r="O68" i="13"/>
  <c r="AP68" i="13" s="1"/>
  <c r="N68" i="13"/>
  <c r="M68" i="13" s="1"/>
  <c r="C68" i="13"/>
  <c r="AV68" i="13" s="1"/>
  <c r="B68" i="13"/>
  <c r="AT67" i="13"/>
  <c r="AR67" i="13"/>
  <c r="AP67" i="13"/>
  <c r="AO67" i="13"/>
  <c r="M67" i="13"/>
  <c r="C67" i="13"/>
  <c r="D67" i="13" s="1"/>
  <c r="B67" i="13"/>
  <c r="AT66" i="13"/>
  <c r="AR66" i="13"/>
  <c r="O66" i="13"/>
  <c r="AP66" i="13" s="1"/>
  <c r="N66" i="13"/>
  <c r="M66" i="13" s="1"/>
  <c r="C66" i="13"/>
  <c r="AV66" i="13" s="1"/>
  <c r="B66" i="13"/>
  <c r="AT65" i="13"/>
  <c r="AR65" i="13"/>
  <c r="O65" i="13"/>
  <c r="AP65" i="13" s="1"/>
  <c r="N65" i="13"/>
  <c r="AO65" i="13" s="1"/>
  <c r="C65" i="13"/>
  <c r="AV65" i="13" s="1"/>
  <c r="B65" i="13"/>
  <c r="AT64" i="13"/>
  <c r="AR64" i="13"/>
  <c r="O64" i="13"/>
  <c r="N64" i="13"/>
  <c r="AO64" i="13" s="1"/>
  <c r="C64" i="13"/>
  <c r="AV64" i="13" s="1"/>
  <c r="B64" i="13"/>
  <c r="AT63" i="13"/>
  <c r="AR63" i="13"/>
  <c r="O63" i="13"/>
  <c r="N63" i="13"/>
  <c r="M63" i="13" s="1"/>
  <c r="C63" i="13"/>
  <c r="D63" i="13" s="1"/>
  <c r="B63" i="13"/>
  <c r="AT62" i="13"/>
  <c r="AR62" i="13"/>
  <c r="AP62" i="13"/>
  <c r="AO62" i="13"/>
  <c r="M62" i="13"/>
  <c r="C62" i="13"/>
  <c r="D62" i="13" s="1"/>
  <c r="B62" i="13"/>
  <c r="AT61" i="13"/>
  <c r="AR61" i="13"/>
  <c r="AP61" i="13"/>
  <c r="AO61" i="13"/>
  <c r="M61" i="13"/>
  <c r="C61" i="13"/>
  <c r="D61" i="13" s="1"/>
  <c r="B61" i="13"/>
  <c r="AT60" i="13"/>
  <c r="AR60" i="13"/>
  <c r="AP60" i="13"/>
  <c r="AO60" i="13"/>
  <c r="M60" i="13"/>
  <c r="C60" i="13"/>
  <c r="AV60" i="13" s="1"/>
  <c r="B60" i="13"/>
  <c r="AT44" i="13"/>
  <c r="AR44" i="13"/>
  <c r="AP44" i="13"/>
  <c r="AO44" i="13"/>
  <c r="M44" i="13"/>
  <c r="C44" i="13"/>
  <c r="D44" i="13" s="1"/>
  <c r="B44" i="13"/>
  <c r="AT43" i="13"/>
  <c r="AR43" i="13"/>
  <c r="AP43" i="13"/>
  <c r="AO43" i="13"/>
  <c r="M43" i="13"/>
  <c r="C43" i="13"/>
  <c r="D43" i="13" s="1"/>
  <c r="B43" i="13"/>
  <c r="AT42" i="13"/>
  <c r="AR42" i="13"/>
  <c r="AP42" i="13"/>
  <c r="AO42" i="13"/>
  <c r="M42" i="13"/>
  <c r="C42" i="13"/>
  <c r="D42" i="13" s="1"/>
  <c r="B42" i="13"/>
  <c r="AT41" i="13"/>
  <c r="AR41" i="13"/>
  <c r="AP41" i="13"/>
  <c r="AO41" i="13"/>
  <c r="M41" i="13"/>
  <c r="C41" i="13"/>
  <c r="AV41" i="13" s="1"/>
  <c r="B41" i="13"/>
  <c r="Q36" i="13"/>
  <c r="C36" i="13"/>
  <c r="S36" i="13" s="1"/>
  <c r="B36" i="13"/>
  <c r="Q35" i="13"/>
  <c r="O35" i="13"/>
  <c r="C35" i="13"/>
  <c r="D35" i="13" s="1"/>
  <c r="B35" i="13"/>
  <c r="Q34" i="13"/>
  <c r="O34" i="13"/>
  <c r="C34" i="13"/>
  <c r="D34" i="13" s="1"/>
  <c r="B34" i="13"/>
  <c r="Q33" i="13"/>
  <c r="O33" i="13"/>
  <c r="C33" i="13"/>
  <c r="D33" i="13" s="1"/>
  <c r="B33" i="13"/>
  <c r="Q32" i="13"/>
  <c r="O32" i="13"/>
  <c r="C32" i="13"/>
  <c r="S32" i="13" s="1"/>
  <c r="B32" i="13"/>
  <c r="Q31" i="13"/>
  <c r="O31" i="13"/>
  <c r="C31" i="13"/>
  <c r="D31" i="13" s="1"/>
  <c r="B31" i="13"/>
  <c r="Q30" i="13"/>
  <c r="O30" i="13"/>
  <c r="C30" i="13"/>
  <c r="S30" i="13" s="1"/>
  <c r="B30" i="13"/>
  <c r="Q29" i="13"/>
  <c r="O29" i="13"/>
  <c r="C29" i="13"/>
  <c r="D29" i="13" s="1"/>
  <c r="B29" i="13"/>
  <c r="Q28" i="13"/>
  <c r="O28" i="13"/>
  <c r="C28" i="13"/>
  <c r="S28" i="13" s="1"/>
  <c r="B28" i="13"/>
  <c r="Q27" i="13"/>
  <c r="O27" i="13"/>
  <c r="C27" i="13"/>
  <c r="D27" i="13" s="1"/>
  <c r="B27" i="13"/>
  <c r="Q26" i="13"/>
  <c r="O26" i="13"/>
  <c r="C26" i="13"/>
  <c r="D26" i="13" s="1"/>
  <c r="B26" i="13"/>
  <c r="Q25" i="13"/>
  <c r="O25" i="13"/>
  <c r="C25" i="13"/>
  <c r="D25" i="13" s="1"/>
  <c r="B25" i="13"/>
  <c r="Q24" i="13"/>
  <c r="O24" i="13"/>
  <c r="C24" i="13"/>
  <c r="S24" i="13" s="1"/>
  <c r="B24" i="13"/>
  <c r="Q23" i="13"/>
  <c r="O23" i="13"/>
  <c r="C23" i="13"/>
  <c r="D23" i="13" s="1"/>
  <c r="B23" i="13"/>
  <c r="Q22" i="13"/>
  <c r="O22" i="13"/>
  <c r="C22" i="13"/>
  <c r="S22" i="13" s="1"/>
  <c r="B22" i="13"/>
  <c r="Q21" i="13"/>
  <c r="O21" i="13"/>
  <c r="C21" i="13"/>
  <c r="D21" i="13" s="1"/>
  <c r="B21" i="13"/>
  <c r="Q20" i="13"/>
  <c r="O20" i="13"/>
  <c r="C20" i="13"/>
  <c r="S20" i="13" s="1"/>
  <c r="B20" i="13"/>
  <c r="Q19" i="13"/>
  <c r="O19" i="13"/>
  <c r="C19" i="13"/>
  <c r="D19" i="13" s="1"/>
  <c r="B19" i="13"/>
  <c r="Q18" i="13"/>
  <c r="O18" i="13"/>
  <c r="C18" i="13"/>
  <c r="S18" i="13" s="1"/>
  <c r="B18" i="13"/>
  <c r="Q17" i="13"/>
  <c r="O17" i="13"/>
  <c r="C17" i="13"/>
  <c r="D17" i="13" s="1"/>
  <c r="B17" i="13"/>
  <c r="Q16" i="13"/>
  <c r="O16" i="13"/>
  <c r="C16" i="13"/>
  <c r="S16" i="13" s="1"/>
  <c r="B16" i="13"/>
  <c r="Q15" i="13"/>
  <c r="O15" i="13"/>
  <c r="C15" i="13"/>
  <c r="D15" i="13" s="1"/>
  <c r="B15" i="13"/>
  <c r="Q14" i="13"/>
  <c r="O14" i="13"/>
  <c r="C14" i="13"/>
  <c r="S14" i="13" s="1"/>
  <c r="B14" i="13"/>
  <c r="Q13" i="13"/>
  <c r="O13" i="13"/>
  <c r="C13" i="13"/>
  <c r="D13" i="13" s="1"/>
  <c r="B13" i="13"/>
  <c r="Q12" i="13"/>
  <c r="O12" i="13"/>
  <c r="C12" i="13"/>
  <c r="S12" i="13" s="1"/>
  <c r="B12" i="13"/>
  <c r="Q11" i="13"/>
  <c r="O11" i="13"/>
  <c r="C11" i="13"/>
  <c r="D11" i="13" s="1"/>
  <c r="B11" i="13"/>
  <c r="Q10" i="13"/>
  <c r="O10" i="13"/>
  <c r="C10" i="13"/>
  <c r="S10" i="13" s="1"/>
  <c r="B10" i="13"/>
  <c r="Q9" i="13"/>
  <c r="O9" i="13"/>
  <c r="C9" i="13"/>
  <c r="D9" i="13" s="1"/>
  <c r="B9" i="13"/>
  <c r="Q8" i="13"/>
  <c r="O8" i="13"/>
  <c r="C8" i="13"/>
  <c r="S8" i="13" s="1"/>
  <c r="B8" i="13"/>
  <c r="Q7" i="13"/>
  <c r="O7" i="13"/>
  <c r="C7" i="13"/>
  <c r="D7" i="13" s="1"/>
  <c r="B7" i="13"/>
  <c r="Q6" i="13"/>
  <c r="C6" i="13"/>
  <c r="S6" i="13" s="1"/>
  <c r="B6" i="13"/>
  <c r="D4" i="13"/>
  <c r="D3" i="13"/>
  <c r="M71" i="13" l="1"/>
  <c r="AP63" i="13"/>
  <c r="Q63" i="13"/>
  <c r="D51" i="13"/>
  <c r="AV58" i="13"/>
  <c r="AP64" i="13"/>
  <c r="Q64" i="13"/>
  <c r="M64" i="13"/>
  <c r="D55" i="13"/>
  <c r="AV47" i="13"/>
  <c r="M69" i="13"/>
  <c r="D46" i="13"/>
  <c r="D54" i="13"/>
  <c r="AV52" i="13"/>
  <c r="S38" i="13"/>
  <c r="S26" i="13"/>
  <c r="M74" i="13"/>
  <c r="D39" i="13"/>
  <c r="AV50" i="13"/>
  <c r="D48" i="13"/>
  <c r="AV57" i="13"/>
  <c r="AV49" i="13"/>
  <c r="S37" i="13"/>
  <c r="AV56" i="13"/>
  <c r="D81" i="13"/>
  <c r="D18" i="13"/>
  <c r="D60" i="13"/>
  <c r="AV53" i="13"/>
  <c r="AV45" i="13"/>
  <c r="D28" i="13"/>
  <c r="D10" i="13"/>
  <c r="S11" i="13"/>
  <c r="D71" i="13"/>
  <c r="D36" i="13"/>
  <c r="D73" i="13"/>
  <c r="D22" i="13"/>
  <c r="AO66" i="13"/>
  <c r="AO76" i="13"/>
  <c r="O88" i="13"/>
  <c r="S19" i="13"/>
  <c r="D24" i="13"/>
  <c r="S34" i="13"/>
  <c r="D76" i="13"/>
  <c r="O87" i="13"/>
  <c r="D30" i="13"/>
  <c r="AO63" i="13"/>
  <c r="AO70" i="13"/>
  <c r="D14" i="13"/>
  <c r="D64" i="13"/>
  <c r="D90" i="13"/>
  <c r="D32" i="13"/>
  <c r="D69" i="13"/>
  <c r="D92" i="13"/>
  <c r="S29" i="13"/>
  <c r="S21" i="13"/>
  <c r="D66" i="13"/>
  <c r="D8" i="13"/>
  <c r="D12" i="13"/>
  <c r="S13" i="13"/>
  <c r="D74" i="13"/>
  <c r="O89" i="13"/>
  <c r="D16" i="13"/>
  <c r="D20" i="13"/>
  <c r="S35" i="13"/>
  <c r="S27" i="13"/>
  <c r="S9" i="13"/>
  <c r="S17" i="13"/>
  <c r="S25" i="13"/>
  <c r="S33" i="13"/>
  <c r="AV63" i="13"/>
  <c r="AV70" i="13"/>
  <c r="D6" i="13"/>
  <c r="D41" i="13"/>
  <c r="AV42" i="13"/>
  <c r="AV61" i="13"/>
  <c r="D65" i="13"/>
  <c r="AV67" i="13"/>
  <c r="D72" i="13"/>
  <c r="D78" i="13"/>
  <c r="AV79" i="13"/>
  <c r="D91" i="13"/>
  <c r="S7" i="13"/>
  <c r="S15" i="13"/>
  <c r="S23" i="13"/>
  <c r="S31" i="13"/>
  <c r="AO68" i="13"/>
  <c r="AO75" i="13"/>
  <c r="AO80" i="13"/>
  <c r="AV43" i="13"/>
  <c r="AV62" i="13"/>
  <c r="M65" i="13"/>
  <c r="M72" i="13"/>
  <c r="AV44" i="13"/>
  <c r="D68" i="13"/>
  <c r="D75" i="13"/>
  <c r="AV77" i="13"/>
  <c r="D80" i="13"/>
  <c r="AV8" i="12"/>
  <c r="C8" i="12"/>
  <c r="D8" i="12" s="1"/>
  <c r="C7" i="12"/>
  <c r="AV7" i="12" s="1"/>
  <c r="D7" i="12"/>
  <c r="C5" i="12"/>
  <c r="D5" i="12" s="1"/>
  <c r="B8" i="12"/>
  <c r="B7" i="12"/>
  <c r="B5" i="12"/>
  <c r="O8" i="12"/>
  <c r="AP8" i="12" s="1"/>
  <c r="D4" i="12"/>
  <c r="D6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3" i="12"/>
  <c r="D22" i="12"/>
  <c r="D23" i="12"/>
  <c r="D2" i="12"/>
  <c r="AT38" i="11"/>
  <c r="AT41" i="11"/>
  <c r="AT40" i="11"/>
  <c r="AT39" i="11"/>
  <c r="AT74" i="11"/>
  <c r="AT73" i="11"/>
  <c r="AT72" i="11"/>
  <c r="AT71" i="11"/>
  <c r="AT70" i="11"/>
  <c r="AT69" i="11"/>
  <c r="AT68" i="11"/>
  <c r="AT67" i="11"/>
  <c r="AT66" i="11"/>
  <c r="AT65" i="11"/>
  <c r="AT64" i="11"/>
  <c r="AT63" i="11"/>
  <c r="AT62" i="11"/>
  <c r="AT61" i="11"/>
  <c r="AT60" i="11"/>
  <c r="AT59" i="11"/>
  <c r="AT58" i="11"/>
  <c r="AT57" i="11"/>
  <c r="AT56" i="11"/>
  <c r="AT55" i="11"/>
  <c r="AT54" i="11"/>
  <c r="AT53" i="11"/>
  <c r="AT52" i="11"/>
  <c r="AT51" i="11"/>
  <c r="AT50" i="11"/>
  <c r="AT49" i="11"/>
  <c r="AT48" i="11"/>
  <c r="AT47" i="11"/>
  <c r="AT46" i="11"/>
  <c r="AT45" i="11"/>
  <c r="AT44" i="11"/>
  <c r="AT43" i="11"/>
  <c r="AV45" i="11"/>
  <c r="AV58" i="11"/>
  <c r="AV61" i="11"/>
  <c r="AV69" i="11"/>
  <c r="AV73" i="11"/>
  <c r="C40" i="11"/>
  <c r="AV40" i="11" s="1"/>
  <c r="C39" i="11"/>
  <c r="AV39" i="11" s="1"/>
  <c r="C41" i="11"/>
  <c r="AV41" i="11" s="1"/>
  <c r="C38" i="11"/>
  <c r="D38" i="11" s="1"/>
  <c r="D40" i="11"/>
  <c r="D39" i="11"/>
  <c r="C74" i="11"/>
  <c r="AV74" i="11" s="1"/>
  <c r="C73" i="11"/>
  <c r="C72" i="11"/>
  <c r="D72" i="11" s="1"/>
  <c r="C71" i="11"/>
  <c r="AV71" i="11" s="1"/>
  <c r="C70" i="11"/>
  <c r="AV70" i="11" s="1"/>
  <c r="C69" i="11"/>
  <c r="D69" i="11" s="1"/>
  <c r="C68" i="11"/>
  <c r="D68" i="11" s="1"/>
  <c r="C67" i="11"/>
  <c r="D67" i="11" s="1"/>
  <c r="C66" i="11"/>
  <c r="AV66" i="11" s="1"/>
  <c r="C65" i="11"/>
  <c r="D65" i="11" s="1"/>
  <c r="C64" i="11"/>
  <c r="AV64" i="11" s="1"/>
  <c r="C63" i="11"/>
  <c r="AV63" i="11" s="1"/>
  <c r="C62" i="11"/>
  <c r="D62" i="11" s="1"/>
  <c r="C61" i="11"/>
  <c r="D61" i="11" s="1"/>
  <c r="C60" i="11"/>
  <c r="AV60" i="11" s="1"/>
  <c r="C59" i="11"/>
  <c r="D59" i="11" s="1"/>
  <c r="C58" i="11"/>
  <c r="C57" i="11"/>
  <c r="D57" i="11" s="1"/>
  <c r="C56" i="11"/>
  <c r="D56" i="11" s="1"/>
  <c r="C55" i="11"/>
  <c r="D55" i="11" s="1"/>
  <c r="C54" i="11"/>
  <c r="D54" i="11" s="1"/>
  <c r="C53" i="11"/>
  <c r="AV53" i="11" s="1"/>
  <c r="C52" i="11"/>
  <c r="D52" i="11" s="1"/>
  <c r="C51" i="11"/>
  <c r="AV51" i="11" s="1"/>
  <c r="D51" i="11"/>
  <c r="C50" i="11"/>
  <c r="AV50" i="11" s="1"/>
  <c r="C49" i="11"/>
  <c r="AV49" i="11" s="1"/>
  <c r="C48" i="11"/>
  <c r="AV48" i="11" s="1"/>
  <c r="C47" i="11"/>
  <c r="D47" i="11" s="1"/>
  <c r="C46" i="11"/>
  <c r="D46" i="11" s="1"/>
  <c r="C45" i="11"/>
  <c r="D45" i="11" s="1"/>
  <c r="C44" i="11"/>
  <c r="AV44" i="11" s="1"/>
  <c r="C43" i="11"/>
  <c r="AV43" i="11" s="1"/>
  <c r="AP37" i="11"/>
  <c r="AP36" i="11"/>
  <c r="AP35" i="11"/>
  <c r="AP34" i="11"/>
  <c r="AP31" i="11"/>
  <c r="AP30" i="11"/>
  <c r="AP29" i="11"/>
  <c r="AP28" i="11"/>
  <c r="O35" i="11"/>
  <c r="O36" i="11"/>
  <c r="O37" i="11"/>
  <c r="O34" i="11"/>
  <c r="O30" i="11"/>
  <c r="O31" i="11"/>
  <c r="O29" i="11"/>
  <c r="AT37" i="11"/>
  <c r="AT36" i="11"/>
  <c r="AT35" i="11"/>
  <c r="AT34" i="11"/>
  <c r="AT33" i="11"/>
  <c r="AT32" i="11"/>
  <c r="AT31" i="11"/>
  <c r="AT30" i="11"/>
  <c r="AT29" i="11"/>
  <c r="AT28" i="11"/>
  <c r="AR44" i="11"/>
  <c r="AR45" i="11"/>
  <c r="AR46" i="11"/>
  <c r="AR47" i="11"/>
  <c r="AR48" i="11"/>
  <c r="AR49" i="11"/>
  <c r="AR50" i="11"/>
  <c r="AR51" i="11"/>
  <c r="AR52" i="11"/>
  <c r="AR53" i="11"/>
  <c r="AR54" i="11"/>
  <c r="AR55" i="11"/>
  <c r="AR56" i="11"/>
  <c r="AR57" i="11"/>
  <c r="AR58" i="11"/>
  <c r="AR59" i="11"/>
  <c r="AR60" i="11"/>
  <c r="AR61" i="11"/>
  <c r="AR62" i="11"/>
  <c r="AR63" i="11"/>
  <c r="AR64" i="11"/>
  <c r="AR65" i="11"/>
  <c r="AR66" i="11"/>
  <c r="AR67" i="11"/>
  <c r="AR68" i="11"/>
  <c r="AR69" i="11"/>
  <c r="AR70" i="11"/>
  <c r="AR71" i="11"/>
  <c r="AR72" i="11"/>
  <c r="AR73" i="11"/>
  <c r="AR74" i="11"/>
  <c r="AR38" i="11"/>
  <c r="AR39" i="11"/>
  <c r="AR40" i="11"/>
  <c r="AR41" i="11"/>
  <c r="AR43" i="11"/>
  <c r="AR29" i="11"/>
  <c r="AR30" i="11"/>
  <c r="AR31" i="11"/>
  <c r="AR32" i="11"/>
  <c r="AR33" i="11"/>
  <c r="AR34" i="11"/>
  <c r="AR35" i="11"/>
  <c r="AR36" i="11"/>
  <c r="AR37" i="11"/>
  <c r="AR28" i="11"/>
  <c r="O25" i="11"/>
  <c r="O26" i="11"/>
  <c r="O24" i="11"/>
  <c r="AV33" i="11"/>
  <c r="AV37" i="11"/>
  <c r="C37" i="11"/>
  <c r="D37" i="11" s="1"/>
  <c r="C36" i="11"/>
  <c r="D36" i="11" s="1"/>
  <c r="C35" i="11"/>
  <c r="D35" i="11" s="1"/>
  <c r="C34" i="11"/>
  <c r="D34" i="11" s="1"/>
  <c r="C33" i="11"/>
  <c r="D33" i="11" s="1"/>
  <c r="C32" i="11"/>
  <c r="D32" i="11" s="1"/>
  <c r="C31" i="11"/>
  <c r="AV31" i="11" s="1"/>
  <c r="C30" i="11"/>
  <c r="AV30" i="11" s="1"/>
  <c r="C29" i="11"/>
  <c r="D29" i="11" s="1"/>
  <c r="C28" i="11"/>
  <c r="D28" i="11" s="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D108" i="11"/>
  <c r="D109" i="11"/>
  <c r="B24" i="11"/>
  <c r="B25" i="11"/>
  <c r="B26" i="11"/>
  <c r="D25" i="11"/>
  <c r="D27" i="11"/>
  <c r="C26" i="11"/>
  <c r="S26" i="11" s="1"/>
  <c r="C25" i="11"/>
  <c r="S25" i="11" s="1"/>
  <c r="C24" i="11"/>
  <c r="C23" i="11"/>
  <c r="S23" i="11" s="1"/>
  <c r="D80" i="11"/>
  <c r="D79" i="11"/>
  <c r="D78" i="11"/>
  <c r="D77" i="11"/>
  <c r="D76" i="11"/>
  <c r="D75" i="11"/>
  <c r="D41" i="11"/>
  <c r="D73" i="11"/>
  <c r="D70" i="11"/>
  <c r="D66" i="11"/>
  <c r="D64" i="11"/>
  <c r="D58" i="11"/>
  <c r="D53" i="11"/>
  <c r="D50" i="11"/>
  <c r="D44" i="11"/>
  <c r="D42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66" i="11"/>
  <c r="B67" i="11"/>
  <c r="B68" i="11"/>
  <c r="B69" i="11"/>
  <c r="B70" i="11"/>
  <c r="B71" i="11"/>
  <c r="B72" i="11"/>
  <c r="B73" i="11"/>
  <c r="B74" i="11"/>
  <c r="B38" i="11"/>
  <c r="B39" i="11"/>
  <c r="B40" i="11"/>
  <c r="B41" i="11"/>
  <c r="B43" i="11"/>
  <c r="B30" i="11"/>
  <c r="B31" i="11"/>
  <c r="B32" i="11"/>
  <c r="B33" i="11"/>
  <c r="B34" i="11"/>
  <c r="B35" i="11"/>
  <c r="B36" i="11"/>
  <c r="B37" i="11"/>
  <c r="B29" i="11"/>
  <c r="B28" i="11"/>
  <c r="B23" i="11"/>
  <c r="D49" i="11" l="1"/>
  <c r="AV29" i="11"/>
  <c r="AV65" i="11"/>
  <c r="D26" i="11"/>
  <c r="AV62" i="11"/>
  <c r="AV57" i="11"/>
  <c r="D24" i="11"/>
  <c r="S24" i="11"/>
  <c r="D30" i="11"/>
  <c r="AV46" i="11"/>
  <c r="D43" i="11"/>
  <c r="D74" i="11"/>
  <c r="AV36" i="11"/>
  <c r="S5" i="12"/>
  <c r="D63" i="11"/>
  <c r="D23" i="11"/>
  <c r="AV28" i="11"/>
  <c r="D48" i="11"/>
  <c r="D60" i="11"/>
  <c r="AV54" i="11"/>
  <c r="AV68" i="11"/>
  <c r="AV52" i="11"/>
  <c r="AV35" i="11"/>
  <c r="AV38" i="11"/>
  <c r="AV67" i="11"/>
  <c r="AV59" i="11"/>
  <c r="AV34" i="11"/>
  <c r="D71" i="11"/>
  <c r="AV32" i="11"/>
  <c r="AV72" i="11"/>
  <c r="AV56" i="11"/>
  <c r="D31" i="11"/>
  <c r="AV55" i="11"/>
  <c r="AV47" i="11"/>
  <c r="AR27" i="10"/>
  <c r="AR28" i="10"/>
  <c r="AR29" i="10"/>
  <c r="AR30" i="10"/>
  <c r="AR31" i="10"/>
  <c r="AR32" i="10"/>
  <c r="AR33" i="10"/>
  <c r="AR34" i="10"/>
  <c r="AR35" i="10"/>
  <c r="AR36" i="10"/>
  <c r="AR37" i="10"/>
  <c r="AR38" i="10"/>
  <c r="AR39" i="10"/>
  <c r="AR40" i="10"/>
  <c r="AR26" i="10"/>
  <c r="C21" i="10"/>
  <c r="AV32" i="10"/>
  <c r="C40" i="10"/>
  <c r="D40" i="10" s="1"/>
  <c r="C39" i="10"/>
  <c r="D39" i="10" s="1"/>
  <c r="C38" i="10"/>
  <c r="C37" i="10"/>
  <c r="C36" i="10"/>
  <c r="D36" i="10" s="1"/>
  <c r="C35" i="10"/>
  <c r="C34" i="10"/>
  <c r="C33" i="10"/>
  <c r="C32" i="10"/>
  <c r="D32" i="10" s="1"/>
  <c r="C31" i="10"/>
  <c r="D31" i="10" s="1"/>
  <c r="C30" i="10"/>
  <c r="C29" i="10"/>
  <c r="C28" i="10"/>
  <c r="D28" i="10" s="1"/>
  <c r="C27" i="10"/>
  <c r="C26" i="10"/>
  <c r="C24" i="10"/>
  <c r="D24" i="10" s="1"/>
  <c r="C23" i="10"/>
  <c r="D23" i="10" s="1"/>
  <c r="C20" i="10"/>
  <c r="C19" i="10"/>
  <c r="C18" i="10"/>
  <c r="D18" i="10" s="1"/>
  <c r="C17" i="10"/>
  <c r="C16" i="10"/>
  <c r="C15" i="10"/>
  <c r="C14" i="10"/>
  <c r="D14" i="10" s="1"/>
  <c r="C13" i="10"/>
  <c r="C12" i="10"/>
  <c r="C11" i="10"/>
  <c r="C10" i="10"/>
  <c r="D10" i="10" s="1"/>
  <c r="C9" i="10"/>
  <c r="C8" i="10"/>
  <c r="C22" i="10"/>
  <c r="B9" i="10"/>
  <c r="B10" i="10"/>
  <c r="B11" i="10"/>
  <c r="B12" i="10"/>
  <c r="B13" i="10"/>
  <c r="B14" i="10"/>
  <c r="B15" i="10"/>
  <c r="B16" i="10"/>
  <c r="B18" i="10"/>
  <c r="B19" i="10"/>
  <c r="B20" i="10"/>
  <c r="B22" i="10"/>
  <c r="B23" i="10"/>
  <c r="B24" i="10"/>
  <c r="B8" i="10"/>
  <c r="O24" i="10"/>
  <c r="O23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8" i="10"/>
  <c r="D5" i="10"/>
  <c r="H3" i="10"/>
  <c r="D2" i="10"/>
  <c r="D3" i="10"/>
  <c r="D4" i="10"/>
  <c r="O8" i="4"/>
  <c r="AV31" i="10" l="1"/>
  <c r="AV37" i="10"/>
  <c r="D37" i="10"/>
  <c r="AV36" i="10"/>
  <c r="S11" i="10"/>
  <c r="D11" i="10"/>
  <c r="AV26" i="10"/>
  <c r="D26" i="10"/>
  <c r="AV38" i="10"/>
  <c r="D38" i="10"/>
  <c r="S12" i="10"/>
  <c r="D12" i="10"/>
  <c r="AV27" i="10"/>
  <c r="D27" i="10"/>
  <c r="AV28" i="10"/>
  <c r="S21" i="10"/>
  <c r="D21" i="10"/>
  <c r="AV29" i="10"/>
  <c r="D29" i="10"/>
  <c r="S24" i="10"/>
  <c r="S9" i="10"/>
  <c r="D9" i="10"/>
  <c r="S15" i="10"/>
  <c r="D15" i="10"/>
  <c r="AV30" i="10"/>
  <c r="D30" i="10"/>
  <c r="S23" i="10"/>
  <c r="S16" i="10"/>
  <c r="D16" i="10"/>
  <c r="S18" i="10"/>
  <c r="S13" i="10"/>
  <c r="D13" i="10"/>
  <c r="S17" i="10"/>
  <c r="D17" i="10"/>
  <c r="S14" i="10"/>
  <c r="AV33" i="10"/>
  <c r="D33" i="10"/>
  <c r="S10" i="10"/>
  <c r="S22" i="10"/>
  <c r="D22" i="10"/>
  <c r="S19" i="10"/>
  <c r="D19" i="10"/>
  <c r="AV34" i="10"/>
  <c r="D34" i="10"/>
  <c r="AV40" i="10"/>
  <c r="S8" i="10"/>
  <c r="D8" i="10"/>
  <c r="S20" i="10"/>
  <c r="D20" i="10"/>
  <c r="AV35" i="10"/>
  <c r="D35" i="10"/>
  <c r="AV39" i="10"/>
  <c r="Q22" i="10"/>
  <c r="B27" i="10"/>
  <c r="B28" i="10"/>
  <c r="B29" i="10"/>
  <c r="B30" i="10"/>
  <c r="B31" i="10"/>
  <c r="B32" i="10"/>
  <c r="B33" i="10"/>
  <c r="B34" i="10"/>
  <c r="B40" i="10"/>
  <c r="B26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1" i="10"/>
  <c r="D90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6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2" i="10"/>
  <c r="D41" i="10"/>
  <c r="AT19" i="9"/>
  <c r="AT18" i="9"/>
  <c r="AT17" i="9"/>
  <c r="AT16" i="9"/>
  <c r="AT15" i="9"/>
  <c r="AT14" i="9"/>
  <c r="AT13" i="9"/>
  <c r="AT12" i="9"/>
  <c r="AT11" i="9"/>
  <c r="AT10" i="9"/>
  <c r="AT9" i="9"/>
  <c r="AT8" i="9"/>
  <c r="AT7" i="9"/>
  <c r="AV9" i="9"/>
  <c r="AV10" i="9"/>
  <c r="AV11" i="9"/>
  <c r="AV12" i="9"/>
  <c r="AV15" i="9"/>
  <c r="C19" i="9"/>
  <c r="AV19" i="9" s="1"/>
  <c r="C18" i="9"/>
  <c r="AV18" i="9" s="1"/>
  <c r="C17" i="9"/>
  <c r="AV17" i="9" s="1"/>
  <c r="C16" i="9"/>
  <c r="AV16" i="9" s="1"/>
  <c r="C15" i="9"/>
  <c r="C14" i="9"/>
  <c r="AV14" i="9" s="1"/>
  <c r="C13" i="9"/>
  <c r="D13" i="9" s="1"/>
  <c r="C12" i="9"/>
  <c r="C11" i="9"/>
  <c r="C10" i="9"/>
  <c r="C9" i="9"/>
  <c r="C8" i="9"/>
  <c r="AV8" i="9" s="1"/>
  <c r="C7" i="9"/>
  <c r="D7" i="9" s="1"/>
  <c r="C5" i="9"/>
  <c r="D5" i="9" s="1"/>
  <c r="S5" i="9"/>
  <c r="Q5" i="9"/>
  <c r="AR8" i="9"/>
  <c r="AR9" i="9"/>
  <c r="AR10" i="9"/>
  <c r="AR11" i="9"/>
  <c r="AR12" i="9"/>
  <c r="AR13" i="9"/>
  <c r="AR14" i="9"/>
  <c r="AR15" i="9"/>
  <c r="AR16" i="9"/>
  <c r="AR17" i="9"/>
  <c r="AR18" i="9"/>
  <c r="AR19" i="9"/>
  <c r="AR7" i="9"/>
  <c r="B8" i="9"/>
  <c r="B9" i="9"/>
  <c r="B10" i="9"/>
  <c r="B11" i="9"/>
  <c r="B12" i="9"/>
  <c r="B13" i="9"/>
  <c r="B14" i="9"/>
  <c r="B15" i="9"/>
  <c r="B16" i="9"/>
  <c r="B17" i="9"/>
  <c r="B18" i="9"/>
  <c r="B19" i="9"/>
  <c r="B7" i="9"/>
  <c r="B5" i="9"/>
  <c r="D2" i="9"/>
  <c r="D3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7" i="9"/>
  <c r="D15" i="9"/>
  <c r="D14" i="9"/>
  <c r="D12" i="9"/>
  <c r="D11" i="9"/>
  <c r="D10" i="9"/>
  <c r="D9" i="9"/>
  <c r="D6" i="9"/>
  <c r="D4" i="9"/>
  <c r="D3" i="7"/>
  <c r="D3" i="4"/>
  <c r="D3" i="1"/>
  <c r="D3" i="8"/>
  <c r="D4" i="8"/>
  <c r="D5" i="8"/>
  <c r="D46" i="8"/>
  <c r="D48" i="8"/>
  <c r="D49" i="8"/>
  <c r="D50" i="8"/>
  <c r="D37" i="7"/>
  <c r="D55" i="7"/>
  <c r="D54" i="7"/>
  <c r="D43" i="7"/>
  <c r="D4" i="6"/>
  <c r="D5" i="6"/>
  <c r="D6" i="6"/>
  <c r="D7" i="6"/>
  <c r="D8" i="6"/>
  <c r="D28" i="6"/>
  <c r="D42" i="6"/>
  <c r="D46" i="6"/>
  <c r="D48" i="6"/>
  <c r="D50" i="6"/>
  <c r="D51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3" i="6"/>
  <c r="D74" i="4"/>
  <c r="D77" i="4"/>
  <c r="D78" i="4"/>
  <c r="D79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09" i="1"/>
  <c r="D105" i="1"/>
  <c r="D106" i="1"/>
  <c r="D107" i="1"/>
  <c r="D108" i="1"/>
  <c r="D110" i="1"/>
  <c r="D79" i="1"/>
  <c r="D80" i="1"/>
  <c r="D81" i="1"/>
  <c r="D82" i="1"/>
  <c r="D83" i="1"/>
  <c r="D84" i="1"/>
  <c r="D85" i="1"/>
  <c r="D86" i="1"/>
  <c r="D87" i="1"/>
  <c r="D88" i="1"/>
  <c r="D89" i="1"/>
  <c r="D90" i="1"/>
  <c r="D95" i="1"/>
  <c r="D96" i="1"/>
  <c r="D97" i="1"/>
  <c r="D98" i="1"/>
  <c r="D99" i="1"/>
  <c r="D100" i="1"/>
  <c r="D101" i="1"/>
  <c r="D102" i="1"/>
  <c r="D103" i="1"/>
  <c r="D104" i="1"/>
  <c r="D111" i="1"/>
  <c r="D112" i="1"/>
  <c r="D113" i="1"/>
  <c r="D114" i="1"/>
  <c r="C42" i="8"/>
  <c r="D42" i="8" s="1"/>
  <c r="C16" i="8"/>
  <c r="AV16" i="8" s="1"/>
  <c r="J47" i="8"/>
  <c r="C47" i="8"/>
  <c r="D47" i="8" s="1"/>
  <c r="B47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80" i="8"/>
  <c r="D82" i="8"/>
  <c r="D83" i="8"/>
  <c r="D84" i="8"/>
  <c r="D85" i="8"/>
  <c r="D86" i="8"/>
  <c r="C39" i="8"/>
  <c r="D39" i="8" s="1"/>
  <c r="C45" i="8"/>
  <c r="AV45" i="8" s="1"/>
  <c r="C38" i="8"/>
  <c r="AV38" i="8" s="1"/>
  <c r="C37" i="8"/>
  <c r="AV37" i="8" s="1"/>
  <c r="C36" i="8"/>
  <c r="AV36" i="8" s="1"/>
  <c r="C35" i="8"/>
  <c r="AV35" i="8" s="1"/>
  <c r="C34" i="8"/>
  <c r="AV34" i="8" s="1"/>
  <c r="C40" i="8"/>
  <c r="D40" i="8" s="1"/>
  <c r="C24" i="8"/>
  <c r="AV24" i="8" s="1"/>
  <c r="C44" i="8"/>
  <c r="D44" i="8" s="1"/>
  <c r="C23" i="8"/>
  <c r="D23" i="8" s="1"/>
  <c r="C22" i="8"/>
  <c r="D22" i="8" s="1"/>
  <c r="C21" i="8"/>
  <c r="AV21" i="8" s="1"/>
  <c r="C20" i="8"/>
  <c r="D20" i="8" s="1"/>
  <c r="C33" i="8"/>
  <c r="D33" i="8" s="1"/>
  <c r="C28" i="8"/>
  <c r="D28" i="8" s="1"/>
  <c r="C32" i="8"/>
  <c r="D32" i="8" s="1"/>
  <c r="C27" i="8"/>
  <c r="D27" i="8" s="1"/>
  <c r="C26" i="8"/>
  <c r="AV26" i="8" s="1"/>
  <c r="C25" i="8"/>
  <c r="AV25" i="8" s="1"/>
  <c r="C31" i="8"/>
  <c r="AV31" i="8" s="1"/>
  <c r="C30" i="8"/>
  <c r="AV30" i="8" s="1"/>
  <c r="C29" i="8"/>
  <c r="D29" i="8" s="1"/>
  <c r="C18" i="8"/>
  <c r="D18" i="8" s="1"/>
  <c r="C17" i="8"/>
  <c r="D17" i="8" s="1"/>
  <c r="C15" i="8"/>
  <c r="D15" i="8" s="1"/>
  <c r="C10" i="8"/>
  <c r="AV10" i="8" s="1"/>
  <c r="C9" i="8"/>
  <c r="D9" i="8" s="1"/>
  <c r="C8" i="8"/>
  <c r="D8" i="8" s="1"/>
  <c r="C7" i="8"/>
  <c r="AV7" i="8" s="1"/>
  <c r="C14" i="8"/>
  <c r="AV14" i="8" s="1"/>
  <c r="C13" i="8"/>
  <c r="AV13" i="8" s="1"/>
  <c r="C12" i="8"/>
  <c r="AV12" i="8" s="1"/>
  <c r="D19" i="8"/>
  <c r="D6" i="8"/>
  <c r="C11" i="8"/>
  <c r="AV11" i="8" s="1"/>
  <c r="B30" i="8"/>
  <c r="B31" i="8"/>
  <c r="B25" i="8"/>
  <c r="B26" i="8"/>
  <c r="B27" i="8"/>
  <c r="B32" i="8"/>
  <c r="B28" i="8"/>
  <c r="B33" i="8"/>
  <c r="B20" i="8"/>
  <c r="B21" i="8"/>
  <c r="B22" i="8"/>
  <c r="B23" i="8"/>
  <c r="B44" i="8"/>
  <c r="B24" i="8"/>
  <c r="B40" i="8"/>
  <c r="B42" i="8"/>
  <c r="B34" i="8"/>
  <c r="B35" i="8"/>
  <c r="B36" i="8"/>
  <c r="B37" i="8"/>
  <c r="B38" i="8"/>
  <c r="B45" i="8"/>
  <c r="B39" i="8"/>
  <c r="B29" i="8"/>
  <c r="B11" i="8"/>
  <c r="B12" i="8"/>
  <c r="B13" i="8"/>
  <c r="B14" i="8"/>
  <c r="B7" i="8"/>
  <c r="B8" i="8"/>
  <c r="B9" i="8"/>
  <c r="B10" i="8"/>
  <c r="B15" i="8"/>
  <c r="B16" i="8"/>
  <c r="B17" i="8"/>
  <c r="B18" i="8"/>
  <c r="C13" i="7"/>
  <c r="S13" i="7" s="1"/>
  <c r="C12" i="7"/>
  <c r="S12" i="7" s="1"/>
  <c r="Q13" i="7"/>
  <c r="B13" i="7"/>
  <c r="Q12" i="7"/>
  <c r="B12" i="7"/>
  <c r="Q16" i="7"/>
  <c r="Q23" i="7"/>
  <c r="Q20" i="7"/>
  <c r="C23" i="7"/>
  <c r="D23" i="7" s="1"/>
  <c r="C20" i="7"/>
  <c r="D20" i="7" s="1"/>
  <c r="C16" i="7"/>
  <c r="S16" i="7" s="1"/>
  <c r="C14" i="7"/>
  <c r="S14" i="7" s="1"/>
  <c r="Q28" i="7"/>
  <c r="Q27" i="7"/>
  <c r="Q26" i="7"/>
  <c r="C28" i="7"/>
  <c r="D28" i="7" s="1"/>
  <c r="C27" i="7"/>
  <c r="D27" i="7" s="1"/>
  <c r="C26" i="7"/>
  <c r="D26" i="7" s="1"/>
  <c r="C42" i="7"/>
  <c r="D42" i="7" s="1"/>
  <c r="M42" i="7"/>
  <c r="Q9" i="7"/>
  <c r="C9" i="7"/>
  <c r="D9" i="7" s="1"/>
  <c r="Q8" i="7"/>
  <c r="C8" i="7"/>
  <c r="S8" i="7" s="1"/>
  <c r="C30" i="7"/>
  <c r="D30" i="7" s="1"/>
  <c r="C34" i="7"/>
  <c r="AV34" i="7" s="1"/>
  <c r="C32" i="7"/>
  <c r="AV32" i="7" s="1"/>
  <c r="C31" i="7"/>
  <c r="D31" i="7" s="1"/>
  <c r="K42" i="7"/>
  <c r="B42" i="7"/>
  <c r="K41" i="7"/>
  <c r="C41" i="7"/>
  <c r="D41" i="7" s="1"/>
  <c r="B41" i="7"/>
  <c r="M41" i="7"/>
  <c r="K40" i="7"/>
  <c r="C40" i="7"/>
  <c r="D40" i="7" s="1"/>
  <c r="B40" i="7"/>
  <c r="M40" i="7"/>
  <c r="C39" i="7"/>
  <c r="O39" i="7" s="1"/>
  <c r="B39" i="7"/>
  <c r="M39" i="7"/>
  <c r="K36" i="7"/>
  <c r="J36" i="7"/>
  <c r="C36" i="7"/>
  <c r="D36" i="7" s="1"/>
  <c r="B36" i="7"/>
  <c r="D35" i="7"/>
  <c r="AT34" i="7"/>
  <c r="AR34" i="7"/>
  <c r="B34" i="7"/>
  <c r="D33" i="7"/>
  <c r="AT32" i="7"/>
  <c r="AR32" i="7"/>
  <c r="B32" i="7"/>
  <c r="AT31" i="7"/>
  <c r="AR31" i="7"/>
  <c r="B31" i="7"/>
  <c r="AT30" i="7"/>
  <c r="AR30" i="7"/>
  <c r="B30" i="7"/>
  <c r="D29" i="7"/>
  <c r="O28" i="7"/>
  <c r="B28" i="7"/>
  <c r="O27" i="7"/>
  <c r="B27" i="7"/>
  <c r="O26" i="7"/>
  <c r="B26" i="7"/>
  <c r="Q25" i="7"/>
  <c r="C25" i="7"/>
  <c r="D25" i="7" s="1"/>
  <c r="B25" i="7"/>
  <c r="Q24" i="7"/>
  <c r="C24" i="7"/>
  <c r="D24" i="7" s="1"/>
  <c r="B24" i="7"/>
  <c r="B23" i="7"/>
  <c r="Q22" i="7"/>
  <c r="C22" i="7"/>
  <c r="D22" i="7" s="1"/>
  <c r="B22" i="7"/>
  <c r="Q21" i="7"/>
  <c r="C21" i="7"/>
  <c r="S21" i="7" s="1"/>
  <c r="B21" i="7"/>
  <c r="B20" i="7"/>
  <c r="Q19" i="7"/>
  <c r="O19" i="7"/>
  <c r="C19" i="7"/>
  <c r="D19" i="7" s="1"/>
  <c r="B19" i="7"/>
  <c r="Q18" i="7"/>
  <c r="O18" i="7"/>
  <c r="C18" i="7"/>
  <c r="D18" i="7" s="1"/>
  <c r="B18" i="7"/>
  <c r="Q17" i="7"/>
  <c r="O17" i="7"/>
  <c r="C17" i="7"/>
  <c r="S17" i="7" s="1"/>
  <c r="B17" i="7"/>
  <c r="O16" i="7"/>
  <c r="B16" i="7"/>
  <c r="Q15" i="7"/>
  <c r="O15" i="7"/>
  <c r="C15" i="7"/>
  <c r="S15" i="7" s="1"/>
  <c r="B15" i="7"/>
  <c r="O14" i="7"/>
  <c r="B14" i="7"/>
  <c r="Q11" i="7"/>
  <c r="O11" i="7"/>
  <c r="C11" i="7"/>
  <c r="D11" i="7" s="1"/>
  <c r="B11" i="7"/>
  <c r="Q10" i="7"/>
  <c r="O10" i="7"/>
  <c r="C10" i="7"/>
  <c r="D10" i="7" s="1"/>
  <c r="B10" i="7"/>
  <c r="O9" i="7"/>
  <c r="B9" i="7"/>
  <c r="O8" i="7"/>
  <c r="B8" i="7"/>
  <c r="Q7" i="7"/>
  <c r="O7" i="7"/>
  <c r="O20" i="7" s="1"/>
  <c r="C7" i="7"/>
  <c r="D7" i="7" s="1"/>
  <c r="B7" i="7"/>
  <c r="Q6" i="7"/>
  <c r="C6" i="7"/>
  <c r="S6" i="7" s="1"/>
  <c r="B6" i="7"/>
  <c r="D4" i="7"/>
  <c r="C16" i="6"/>
  <c r="S16" i="6" s="1"/>
  <c r="Q31" i="6"/>
  <c r="C31" i="6"/>
  <c r="S31" i="6" s="1"/>
  <c r="B31" i="6"/>
  <c r="Q27" i="6"/>
  <c r="C27" i="6"/>
  <c r="D27" i="6" s="1"/>
  <c r="B27" i="6"/>
  <c r="Q22" i="6"/>
  <c r="C22" i="6"/>
  <c r="S22" i="6" s="1"/>
  <c r="O22" i="6"/>
  <c r="B22" i="6"/>
  <c r="K54" i="6"/>
  <c r="K56" i="6"/>
  <c r="K57" i="6"/>
  <c r="K58" i="6"/>
  <c r="K53" i="6"/>
  <c r="Q40" i="6"/>
  <c r="Q37" i="6"/>
  <c r="Q34" i="6"/>
  <c r="Q14" i="6"/>
  <c r="Q19" i="6"/>
  <c r="C19" i="6"/>
  <c r="S19" i="6" s="1"/>
  <c r="O19" i="6"/>
  <c r="B19" i="6"/>
  <c r="C57" i="6"/>
  <c r="O57" i="6" s="1"/>
  <c r="M57" i="6"/>
  <c r="C58" i="6"/>
  <c r="O58" i="6" s="1"/>
  <c r="C40" i="6"/>
  <c r="D40" i="6" s="1"/>
  <c r="C37" i="6"/>
  <c r="D37" i="6" s="1"/>
  <c r="C34" i="6"/>
  <c r="D34" i="6" s="1"/>
  <c r="C35" i="6"/>
  <c r="S35" i="6" s="1"/>
  <c r="C38" i="6"/>
  <c r="D38" i="6" s="1"/>
  <c r="C41" i="6"/>
  <c r="D41" i="6" s="1"/>
  <c r="C15" i="6"/>
  <c r="D15" i="6" s="1"/>
  <c r="C14" i="6"/>
  <c r="S14" i="6" s="1"/>
  <c r="Q12" i="6"/>
  <c r="C12" i="6"/>
  <c r="S12" i="6" s="1"/>
  <c r="O12" i="6"/>
  <c r="B12" i="6"/>
  <c r="B58" i="6"/>
  <c r="M58" i="6"/>
  <c r="B57" i="6"/>
  <c r="C56" i="6"/>
  <c r="D56" i="6" s="1"/>
  <c r="B56" i="6"/>
  <c r="M56" i="6"/>
  <c r="C54" i="6"/>
  <c r="O54" i="6" s="1"/>
  <c r="B54" i="6"/>
  <c r="M54" i="6"/>
  <c r="C53" i="6"/>
  <c r="D53" i="6" s="1"/>
  <c r="B53" i="6"/>
  <c r="M53" i="6"/>
  <c r="C52" i="6"/>
  <c r="O52" i="6" s="1"/>
  <c r="B52" i="6"/>
  <c r="M52" i="6"/>
  <c r="K49" i="6"/>
  <c r="J49" i="6"/>
  <c r="C49" i="6"/>
  <c r="D49" i="6" s="1"/>
  <c r="B49" i="6"/>
  <c r="AT47" i="6"/>
  <c r="AR47" i="6"/>
  <c r="C47" i="6"/>
  <c r="AV47" i="6" s="1"/>
  <c r="B47" i="6"/>
  <c r="AT45" i="6"/>
  <c r="AR45" i="6"/>
  <c r="C45" i="6"/>
  <c r="AV45" i="6" s="1"/>
  <c r="B45" i="6"/>
  <c r="AT44" i="6"/>
  <c r="AR44" i="6"/>
  <c r="C44" i="6"/>
  <c r="AV44" i="6" s="1"/>
  <c r="B44" i="6"/>
  <c r="AT43" i="6"/>
  <c r="AR43" i="6"/>
  <c r="C43" i="6"/>
  <c r="D43" i="6" s="1"/>
  <c r="B43" i="6"/>
  <c r="Q41" i="6"/>
  <c r="O41" i="6"/>
  <c r="B41" i="6"/>
  <c r="O40" i="6"/>
  <c r="B40" i="6"/>
  <c r="Q39" i="6"/>
  <c r="O39" i="6"/>
  <c r="C39" i="6"/>
  <c r="S39" i="6" s="1"/>
  <c r="B39" i="6"/>
  <c r="Q38" i="6"/>
  <c r="O38" i="6"/>
  <c r="B38" i="6"/>
  <c r="O37" i="6"/>
  <c r="B37" i="6"/>
  <c r="Q36" i="6"/>
  <c r="O36" i="6"/>
  <c r="C36" i="6"/>
  <c r="S36" i="6" s="1"/>
  <c r="B36" i="6"/>
  <c r="Q35" i="6"/>
  <c r="O35" i="6"/>
  <c r="B35" i="6"/>
  <c r="O34" i="6"/>
  <c r="B34" i="6"/>
  <c r="Q33" i="6"/>
  <c r="O33" i="6"/>
  <c r="C33" i="6"/>
  <c r="D33" i="6" s="1"/>
  <c r="B33" i="6"/>
  <c r="Q32" i="6"/>
  <c r="C32" i="6"/>
  <c r="D32" i="6" s="1"/>
  <c r="B32" i="6"/>
  <c r="Q30" i="6"/>
  <c r="C30" i="6"/>
  <c r="D30" i="6" s="1"/>
  <c r="B30" i="6"/>
  <c r="Q29" i="6"/>
  <c r="C29" i="6"/>
  <c r="S29" i="6" s="1"/>
  <c r="B29" i="6"/>
  <c r="Q28" i="6"/>
  <c r="C28" i="6"/>
  <c r="B28" i="6"/>
  <c r="Q26" i="6"/>
  <c r="C26" i="6"/>
  <c r="S26" i="6" s="1"/>
  <c r="B26" i="6"/>
  <c r="Q25" i="6"/>
  <c r="C25" i="6"/>
  <c r="D25" i="6" s="1"/>
  <c r="B25" i="6"/>
  <c r="Q24" i="6"/>
  <c r="O24" i="6"/>
  <c r="C24" i="6"/>
  <c r="D24" i="6" s="1"/>
  <c r="B24" i="6"/>
  <c r="Q23" i="6"/>
  <c r="O23" i="6"/>
  <c r="C23" i="6"/>
  <c r="S23" i="6" s="1"/>
  <c r="B23" i="6"/>
  <c r="Q21" i="6"/>
  <c r="O21" i="6"/>
  <c r="C21" i="6"/>
  <c r="D21" i="6" s="1"/>
  <c r="B21" i="6"/>
  <c r="Q20" i="6"/>
  <c r="O20" i="6"/>
  <c r="C20" i="6"/>
  <c r="D20" i="6" s="1"/>
  <c r="B20" i="6"/>
  <c r="Q18" i="6"/>
  <c r="O18" i="6"/>
  <c r="C18" i="6"/>
  <c r="D18" i="6" s="1"/>
  <c r="B18" i="6"/>
  <c r="Q17" i="6"/>
  <c r="O17" i="6"/>
  <c r="C17" i="6"/>
  <c r="D17" i="6" s="1"/>
  <c r="B17" i="6"/>
  <c r="Q16" i="6"/>
  <c r="O16" i="6"/>
  <c r="B16" i="6"/>
  <c r="Q15" i="6"/>
  <c r="O15" i="6"/>
  <c r="B15" i="6"/>
  <c r="O14" i="6"/>
  <c r="B14" i="6"/>
  <c r="Q13" i="6"/>
  <c r="O13" i="6"/>
  <c r="C13" i="6"/>
  <c r="S13" i="6" s="1"/>
  <c r="B13" i="6"/>
  <c r="Q11" i="6"/>
  <c r="O11" i="6"/>
  <c r="C11" i="6"/>
  <c r="D11" i="6" s="1"/>
  <c r="B11" i="6"/>
  <c r="Q10" i="6"/>
  <c r="O10" i="6"/>
  <c r="O28" i="6" s="1"/>
  <c r="C10" i="6"/>
  <c r="D10" i="6" s="1"/>
  <c r="B10" i="6"/>
  <c r="Q9" i="6"/>
  <c r="C9" i="6"/>
  <c r="D9" i="6" s="1"/>
  <c r="B9" i="6"/>
  <c r="O27" i="4"/>
  <c r="O28" i="4"/>
  <c r="O29" i="4"/>
  <c r="O30" i="4"/>
  <c r="O31" i="4"/>
  <c r="O32" i="4"/>
  <c r="O33" i="4"/>
  <c r="O34" i="4"/>
  <c r="O35" i="4"/>
  <c r="O36" i="4"/>
  <c r="O37" i="4"/>
  <c r="C35" i="4"/>
  <c r="C34" i="4"/>
  <c r="D34" i="4" s="1"/>
  <c r="C33" i="4"/>
  <c r="D33" i="4" s="1"/>
  <c r="C32" i="4"/>
  <c r="D32" i="4" s="1"/>
  <c r="C30" i="4"/>
  <c r="S30" i="4" s="1"/>
  <c r="C29" i="4"/>
  <c r="S29" i="4" s="1"/>
  <c r="C28" i="4"/>
  <c r="S28" i="4" s="1"/>
  <c r="C27" i="4"/>
  <c r="C24" i="4"/>
  <c r="D24" i="4" s="1"/>
  <c r="C23" i="4"/>
  <c r="D23" i="4" s="1"/>
  <c r="C22" i="4"/>
  <c r="S22" i="4" s="1"/>
  <c r="C21" i="4"/>
  <c r="S21" i="4" s="1"/>
  <c r="Q10" i="4"/>
  <c r="Q9" i="4"/>
  <c r="C10" i="4"/>
  <c r="D10" i="4" s="1"/>
  <c r="O10" i="4"/>
  <c r="B10" i="4"/>
  <c r="C9" i="4"/>
  <c r="S9" i="4" s="1"/>
  <c r="Q8" i="4"/>
  <c r="C8" i="4"/>
  <c r="D8" i="4" s="1"/>
  <c r="B8" i="4"/>
  <c r="AT60" i="4"/>
  <c r="Q15" i="4"/>
  <c r="Q14" i="4"/>
  <c r="C15" i="4"/>
  <c r="S15" i="4" s="1"/>
  <c r="C14" i="4"/>
  <c r="D14" i="4" s="1"/>
  <c r="C61" i="4"/>
  <c r="D61" i="4" s="1"/>
  <c r="C60" i="4"/>
  <c r="D60" i="4" s="1"/>
  <c r="C85" i="4"/>
  <c r="B85" i="4"/>
  <c r="M85" i="4"/>
  <c r="C49" i="4"/>
  <c r="S49" i="4" s="1"/>
  <c r="C48" i="4"/>
  <c r="D48" i="4" s="1"/>
  <c r="Q49" i="4"/>
  <c r="B49" i="4"/>
  <c r="Q48" i="4"/>
  <c r="B48" i="4"/>
  <c r="C47" i="4"/>
  <c r="S47" i="4" s="1"/>
  <c r="Q47" i="4"/>
  <c r="B47" i="4"/>
  <c r="Q46" i="4"/>
  <c r="C46" i="4"/>
  <c r="S46" i="4" s="1"/>
  <c r="B46" i="4"/>
  <c r="C20" i="4"/>
  <c r="D20" i="4" s="1"/>
  <c r="C19" i="4"/>
  <c r="D19" i="4" s="1"/>
  <c r="C18" i="4"/>
  <c r="S18" i="4" s="1"/>
  <c r="C17" i="4"/>
  <c r="S17" i="4" s="1"/>
  <c r="C5" i="4"/>
  <c r="C71" i="4" s="1"/>
  <c r="AV71" i="4" s="1"/>
  <c r="K84" i="4"/>
  <c r="C84" i="4"/>
  <c r="D84" i="4" s="1"/>
  <c r="B84" i="4"/>
  <c r="M84" i="4"/>
  <c r="K83" i="4"/>
  <c r="C83" i="4"/>
  <c r="O83" i="4" s="1"/>
  <c r="B83" i="4"/>
  <c r="M83" i="4"/>
  <c r="K82" i="4"/>
  <c r="C82" i="4"/>
  <c r="O82" i="4" s="1"/>
  <c r="B82" i="4"/>
  <c r="M82" i="4"/>
  <c r="K81" i="4"/>
  <c r="C81" i="4"/>
  <c r="O81" i="4" s="1"/>
  <c r="B81" i="4"/>
  <c r="M81" i="4"/>
  <c r="C80" i="4"/>
  <c r="O80" i="4" s="1"/>
  <c r="B80" i="4"/>
  <c r="M80" i="4"/>
  <c r="C76" i="4"/>
  <c r="K76" i="4" s="1"/>
  <c r="B76" i="4"/>
  <c r="K75" i="4"/>
  <c r="J75" i="4"/>
  <c r="C75" i="4"/>
  <c r="D75" i="4" s="1"/>
  <c r="B75" i="4"/>
  <c r="AT73" i="4"/>
  <c r="AR73" i="4"/>
  <c r="AP73" i="4"/>
  <c r="AO73" i="4"/>
  <c r="M73" i="4"/>
  <c r="B73" i="4"/>
  <c r="AT72" i="4"/>
  <c r="AR72" i="4"/>
  <c r="AP72" i="4"/>
  <c r="AO72" i="4"/>
  <c r="M72" i="4"/>
  <c r="B72" i="4"/>
  <c r="AT71" i="4"/>
  <c r="AR71" i="4"/>
  <c r="O71" i="4"/>
  <c r="AP71" i="4" s="1"/>
  <c r="N71" i="4"/>
  <c r="AO71" i="4" s="1"/>
  <c r="L71" i="4"/>
  <c r="B71" i="4"/>
  <c r="AT70" i="4"/>
  <c r="AR70" i="4"/>
  <c r="AP70" i="4"/>
  <c r="AO70" i="4"/>
  <c r="M70" i="4"/>
  <c r="B70" i="4"/>
  <c r="AT69" i="4"/>
  <c r="AR69" i="4"/>
  <c r="O69" i="4"/>
  <c r="AP69" i="4" s="1"/>
  <c r="N69" i="4"/>
  <c r="AO69" i="4" s="1"/>
  <c r="L69" i="4"/>
  <c r="B69" i="4"/>
  <c r="AT68" i="4"/>
  <c r="AR68" i="4"/>
  <c r="O68" i="4"/>
  <c r="AP68" i="4" s="1"/>
  <c r="N68" i="4"/>
  <c r="M68" i="4" s="1"/>
  <c r="L68" i="4"/>
  <c r="B68" i="4"/>
  <c r="AT67" i="4"/>
  <c r="AR67" i="4"/>
  <c r="O67" i="4"/>
  <c r="AP67" i="4" s="1"/>
  <c r="N67" i="4"/>
  <c r="AO67" i="4" s="1"/>
  <c r="L67" i="4"/>
  <c r="B67" i="4"/>
  <c r="AT66" i="4"/>
  <c r="AR66" i="4"/>
  <c r="O66" i="4"/>
  <c r="AP66" i="4" s="1"/>
  <c r="N66" i="4"/>
  <c r="M66" i="4" s="1"/>
  <c r="L66" i="4"/>
  <c r="B66" i="4"/>
  <c r="AT65" i="4"/>
  <c r="AR65" i="4"/>
  <c r="O65" i="4"/>
  <c r="AP65" i="4" s="1"/>
  <c r="N65" i="4"/>
  <c r="AO65" i="4" s="1"/>
  <c r="L65" i="4"/>
  <c r="B65" i="4"/>
  <c r="AT64" i="4"/>
  <c r="AR64" i="4"/>
  <c r="O64" i="4"/>
  <c r="N64" i="4"/>
  <c r="AO64" i="4" s="1"/>
  <c r="L64" i="4"/>
  <c r="B64" i="4"/>
  <c r="AT63" i="4"/>
  <c r="AR63" i="4"/>
  <c r="O63" i="4"/>
  <c r="N63" i="4"/>
  <c r="M63" i="4" s="1"/>
  <c r="L63" i="4"/>
  <c r="B63" i="4"/>
  <c r="AT62" i="4"/>
  <c r="AR62" i="4"/>
  <c r="AP62" i="4"/>
  <c r="AO62" i="4"/>
  <c r="M62" i="4"/>
  <c r="B62" i="4"/>
  <c r="AT61" i="4"/>
  <c r="AR61" i="4"/>
  <c r="O61" i="4"/>
  <c r="N61" i="4"/>
  <c r="AO61" i="4" s="1"/>
  <c r="L61" i="4"/>
  <c r="B61" i="4"/>
  <c r="AR60" i="4"/>
  <c r="AP60" i="4"/>
  <c r="AO60" i="4"/>
  <c r="M60" i="4"/>
  <c r="B60" i="4"/>
  <c r="D59" i="4"/>
  <c r="AT58" i="4"/>
  <c r="AR58" i="4"/>
  <c r="AP58" i="4"/>
  <c r="AO58" i="4"/>
  <c r="M58" i="4"/>
  <c r="B58" i="4"/>
  <c r="AT57" i="4"/>
  <c r="AR57" i="4"/>
  <c r="AP57" i="4"/>
  <c r="AO57" i="4"/>
  <c r="M57" i="4"/>
  <c r="B57" i="4"/>
  <c r="AT56" i="4"/>
  <c r="AR56" i="4"/>
  <c r="AP56" i="4"/>
  <c r="AO56" i="4"/>
  <c r="M56" i="4"/>
  <c r="B56" i="4"/>
  <c r="AT55" i="4"/>
  <c r="AR55" i="4"/>
  <c r="AP55" i="4"/>
  <c r="AO55" i="4"/>
  <c r="M55" i="4"/>
  <c r="B55" i="4"/>
  <c r="D54" i="4"/>
  <c r="Q45" i="4"/>
  <c r="O45" i="4"/>
  <c r="C45" i="4"/>
  <c r="S45" i="4" s="1"/>
  <c r="B45" i="4"/>
  <c r="Q44" i="4"/>
  <c r="O44" i="4"/>
  <c r="C44" i="4"/>
  <c r="S44" i="4" s="1"/>
  <c r="B44" i="4"/>
  <c r="Q43" i="4"/>
  <c r="O43" i="4"/>
  <c r="B43" i="4"/>
  <c r="Q42" i="4"/>
  <c r="O42" i="4"/>
  <c r="B42" i="4"/>
  <c r="Q41" i="4"/>
  <c r="O41" i="4"/>
  <c r="B41" i="4"/>
  <c r="Q40" i="4"/>
  <c r="O40" i="4"/>
  <c r="B40" i="4"/>
  <c r="Q39" i="4"/>
  <c r="O39" i="4"/>
  <c r="B39" i="4"/>
  <c r="Q38" i="4"/>
  <c r="O38" i="4"/>
  <c r="B38" i="4"/>
  <c r="Q37" i="4"/>
  <c r="B37" i="4"/>
  <c r="Q36" i="4"/>
  <c r="C36" i="4"/>
  <c r="S36" i="4" s="1"/>
  <c r="B36" i="4"/>
  <c r="Q35" i="4"/>
  <c r="B35" i="4"/>
  <c r="Q34" i="4"/>
  <c r="B34" i="4"/>
  <c r="Q33" i="4"/>
  <c r="B33" i="4"/>
  <c r="Q32" i="4"/>
  <c r="B32" i="4"/>
  <c r="Q31" i="4"/>
  <c r="C31" i="4"/>
  <c r="D31" i="4" s="1"/>
  <c r="B31" i="4"/>
  <c r="Q30" i="4"/>
  <c r="B30" i="4"/>
  <c r="Q29" i="4"/>
  <c r="B29" i="4"/>
  <c r="Q28" i="4"/>
  <c r="B28" i="4"/>
  <c r="Q27" i="4"/>
  <c r="B27" i="4"/>
  <c r="Q26" i="4"/>
  <c r="O26" i="4"/>
  <c r="C26" i="4"/>
  <c r="D26" i="4" s="1"/>
  <c r="B26" i="4"/>
  <c r="Q25" i="4"/>
  <c r="O25" i="4"/>
  <c r="C25" i="4"/>
  <c r="D25" i="4" s="1"/>
  <c r="B25" i="4"/>
  <c r="Q24" i="4"/>
  <c r="O24" i="4"/>
  <c r="B24" i="4"/>
  <c r="Q23" i="4"/>
  <c r="O23" i="4"/>
  <c r="B23" i="4"/>
  <c r="Q22" i="4"/>
  <c r="O22" i="4"/>
  <c r="B22" i="4"/>
  <c r="Q21" i="4"/>
  <c r="O21" i="4"/>
  <c r="B21" i="4"/>
  <c r="Q20" i="4"/>
  <c r="O20" i="4"/>
  <c r="B20" i="4"/>
  <c r="Q19" i="4"/>
  <c r="O19" i="4"/>
  <c r="B19" i="4"/>
  <c r="Q18" i="4"/>
  <c r="O18" i="4"/>
  <c r="B18" i="4"/>
  <c r="Q17" i="4"/>
  <c r="O17" i="4"/>
  <c r="B17" i="4"/>
  <c r="Q16" i="4"/>
  <c r="O16" i="4"/>
  <c r="C16" i="4"/>
  <c r="S16" i="4" s="1"/>
  <c r="B16" i="4"/>
  <c r="O15" i="4"/>
  <c r="B15" i="4"/>
  <c r="O14" i="4"/>
  <c r="B14" i="4"/>
  <c r="Q13" i="4"/>
  <c r="O13" i="4"/>
  <c r="C13" i="4"/>
  <c r="D13" i="4" s="1"/>
  <c r="B13" i="4"/>
  <c r="Q12" i="4"/>
  <c r="O12" i="4"/>
  <c r="C12" i="4"/>
  <c r="S12" i="4" s="1"/>
  <c r="B12" i="4"/>
  <c r="Q11" i="4"/>
  <c r="O11" i="4"/>
  <c r="C11" i="4"/>
  <c r="S11" i="4" s="1"/>
  <c r="B11" i="4"/>
  <c r="O9" i="4"/>
  <c r="O49" i="4" s="1"/>
  <c r="B9" i="4"/>
  <c r="Q7" i="4"/>
  <c r="C7" i="4"/>
  <c r="D7" i="4" s="1"/>
  <c r="B7" i="4"/>
  <c r="B5" i="4"/>
  <c r="D4" i="4"/>
  <c r="D19" i="6" l="1"/>
  <c r="D16" i="6"/>
  <c r="D52" i="6"/>
  <c r="D31" i="8"/>
  <c r="AP64" i="4"/>
  <c r="P64" i="4"/>
  <c r="D39" i="6"/>
  <c r="D83" i="4"/>
  <c r="D26" i="6"/>
  <c r="D16" i="9"/>
  <c r="D14" i="8"/>
  <c r="D82" i="4"/>
  <c r="D14" i="6"/>
  <c r="D8" i="9"/>
  <c r="AP61" i="4"/>
  <c r="P61" i="4"/>
  <c r="D81" i="4"/>
  <c r="D36" i="6"/>
  <c r="D13" i="6"/>
  <c r="D18" i="9"/>
  <c r="AV7" i="9"/>
  <c r="D34" i="8"/>
  <c r="D45" i="8"/>
  <c r="AV9" i="8"/>
  <c r="D80" i="4"/>
  <c r="D47" i="6"/>
  <c r="D35" i="6"/>
  <c r="D23" i="6"/>
  <c r="D12" i="6"/>
  <c r="D19" i="9"/>
  <c r="D38" i="8"/>
  <c r="AP63" i="4"/>
  <c r="P63" i="4"/>
  <c r="D22" i="6"/>
  <c r="D37" i="8"/>
  <c r="D58" i="6"/>
  <c r="D45" i="6"/>
  <c r="D36" i="8"/>
  <c r="D57" i="6"/>
  <c r="D44" i="6"/>
  <c r="D35" i="8"/>
  <c r="AV42" i="8"/>
  <c r="D76" i="4"/>
  <c r="D31" i="6"/>
  <c r="D11" i="8"/>
  <c r="AV44" i="8"/>
  <c r="D54" i="6"/>
  <c r="AV27" i="8"/>
  <c r="D29" i="6"/>
  <c r="AV13" i="9"/>
  <c r="D13" i="8"/>
  <c r="AV29" i="8"/>
  <c r="D10" i="8"/>
  <c r="D12" i="8"/>
  <c r="D24" i="8"/>
  <c r="AV39" i="8"/>
  <c r="D26" i="8"/>
  <c r="AV23" i="8"/>
  <c r="D7" i="8"/>
  <c r="AV28" i="8"/>
  <c r="AV33" i="8"/>
  <c r="D21" i="8"/>
  <c r="AV8" i="8"/>
  <c r="AV40" i="8"/>
  <c r="D25" i="8"/>
  <c r="AV32" i="8"/>
  <c r="AV18" i="8"/>
  <c r="AV17" i="8"/>
  <c r="AV22" i="8"/>
  <c r="AV15" i="8"/>
  <c r="D30" i="8"/>
  <c r="AV20" i="8"/>
  <c r="D12" i="7"/>
  <c r="O13" i="7"/>
  <c r="D39" i="7"/>
  <c r="O12" i="7"/>
  <c r="O27" i="6"/>
  <c r="S27" i="6"/>
  <c r="O31" i="6"/>
  <c r="D16" i="8"/>
  <c r="D13" i="7"/>
  <c r="S24" i="7"/>
  <c r="S10" i="7"/>
  <c r="S22" i="7"/>
  <c r="O40" i="7"/>
  <c r="S18" i="7"/>
  <c r="S9" i="7"/>
  <c r="O21" i="7"/>
  <c r="D8" i="7"/>
  <c r="O23" i="7"/>
  <c r="O25" i="7"/>
  <c r="S27" i="7"/>
  <c r="D16" i="7"/>
  <c r="S23" i="7"/>
  <c r="AV31" i="7"/>
  <c r="S28" i="7"/>
  <c r="D6" i="7"/>
  <c r="D14" i="7"/>
  <c r="S7" i="7"/>
  <c r="D17" i="7"/>
  <c r="S20" i="7"/>
  <c r="O24" i="7"/>
  <c r="S26" i="7"/>
  <c r="AV30" i="7"/>
  <c r="O42" i="7"/>
  <c r="S11" i="7"/>
  <c r="S19" i="7"/>
  <c r="S25" i="7"/>
  <c r="O41" i="7"/>
  <c r="D15" i="7"/>
  <c r="D21" i="7"/>
  <c r="O22" i="7"/>
  <c r="D32" i="7"/>
  <c r="D34" i="7"/>
  <c r="S17" i="6"/>
  <c r="S9" i="6"/>
  <c r="S37" i="6"/>
  <c r="S15" i="6"/>
  <c r="O32" i="6"/>
  <c r="O29" i="6"/>
  <c r="S20" i="6"/>
  <c r="S34" i="6"/>
  <c r="S40" i="6"/>
  <c r="S38" i="6"/>
  <c r="S41" i="6"/>
  <c r="S18" i="6"/>
  <c r="AV43" i="6"/>
  <c r="O25" i="6"/>
  <c r="O56" i="6"/>
  <c r="S11" i="6"/>
  <c r="S21" i="6"/>
  <c r="S28" i="6"/>
  <c r="S32" i="6"/>
  <c r="O53" i="6"/>
  <c r="S10" i="6"/>
  <c r="S25" i="6"/>
  <c r="S33" i="6"/>
  <c r="O26" i="6"/>
  <c r="S30" i="6"/>
  <c r="S24" i="6"/>
  <c r="O30" i="6"/>
  <c r="S10" i="4"/>
  <c r="S8" i="4"/>
  <c r="C55" i="4"/>
  <c r="O48" i="4"/>
  <c r="D47" i="4"/>
  <c r="O47" i="4"/>
  <c r="O46" i="4"/>
  <c r="O85" i="4"/>
  <c r="S48" i="4"/>
  <c r="D49" i="4"/>
  <c r="D46" i="4"/>
  <c r="S23" i="4"/>
  <c r="S26" i="4"/>
  <c r="C73" i="4"/>
  <c r="C62" i="4"/>
  <c r="D62" i="4" s="1"/>
  <c r="M69" i="4"/>
  <c r="M71" i="4"/>
  <c r="O84" i="4"/>
  <c r="S34" i="4"/>
  <c r="AV61" i="4"/>
  <c r="S20" i="4"/>
  <c r="M64" i="4"/>
  <c r="S19" i="4"/>
  <c r="S14" i="4"/>
  <c r="AO63" i="4"/>
  <c r="AO66" i="4"/>
  <c r="S24" i="4"/>
  <c r="S32" i="4"/>
  <c r="D18" i="4"/>
  <c r="S13" i="4"/>
  <c r="D12" i="4"/>
  <c r="C69" i="4"/>
  <c r="AV69" i="4" s="1"/>
  <c r="S7" i="4"/>
  <c r="S33" i="4"/>
  <c r="S25" i="4"/>
  <c r="S31" i="4"/>
  <c r="C38" i="4"/>
  <c r="C43" i="4"/>
  <c r="S43" i="4" s="1"/>
  <c r="C63" i="4"/>
  <c r="AV63" i="4" s="1"/>
  <c r="C42" i="4"/>
  <c r="C64" i="4"/>
  <c r="AV64" i="4" s="1"/>
  <c r="D5" i="4"/>
  <c r="C37" i="4"/>
  <c r="S37" i="4" s="1"/>
  <c r="C58" i="4"/>
  <c r="C66" i="4"/>
  <c r="D17" i="4"/>
  <c r="S27" i="4"/>
  <c r="D27" i="4"/>
  <c r="D44" i="4"/>
  <c r="D22" i="4"/>
  <c r="D30" i="4"/>
  <c r="M65" i="4"/>
  <c r="AO68" i="4"/>
  <c r="D11" i="4"/>
  <c r="D21" i="4"/>
  <c r="D36" i="4"/>
  <c r="D71" i="4"/>
  <c r="D28" i="4"/>
  <c r="J76" i="4"/>
  <c r="D9" i="4"/>
  <c r="D29" i="4"/>
  <c r="D16" i="4"/>
  <c r="D15" i="4"/>
  <c r="S35" i="4"/>
  <c r="D35" i="4"/>
  <c r="D45" i="4"/>
  <c r="AV60" i="4"/>
  <c r="M61" i="4"/>
  <c r="M67" i="4"/>
  <c r="C68" i="4"/>
  <c r="C41" i="4"/>
  <c r="C56" i="4"/>
  <c r="C65" i="4"/>
  <c r="C72" i="4"/>
  <c r="C40" i="4"/>
  <c r="C70" i="4"/>
  <c r="C39" i="4"/>
  <c r="C57" i="4"/>
  <c r="C67" i="4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C195" i="2"/>
  <c r="D195" i="2" s="1"/>
  <c r="C194" i="2"/>
  <c r="D194" i="2" s="1"/>
  <c r="C193" i="2"/>
  <c r="D193" i="2" s="1"/>
  <c r="C192" i="2"/>
  <c r="D192" i="2" s="1"/>
  <c r="C191" i="2"/>
  <c r="D191" i="2" s="1"/>
  <c r="C190" i="2"/>
  <c r="D190" i="2" s="1"/>
  <c r="C189" i="2"/>
  <c r="D189" i="2" s="1"/>
  <c r="C188" i="2"/>
  <c r="D188" i="2" s="1"/>
  <c r="C187" i="2"/>
  <c r="D187" i="2" s="1"/>
  <c r="C186" i="2"/>
  <c r="D186" i="2" s="1"/>
  <c r="C185" i="2"/>
  <c r="D185" i="2" s="1"/>
  <c r="C184" i="2"/>
  <c r="D184" i="2" s="1"/>
  <c r="C183" i="2"/>
  <c r="D183" i="2" s="1"/>
  <c r="C182" i="2"/>
  <c r="D182" i="2" s="1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Q120" i="2"/>
  <c r="Q119" i="2"/>
  <c r="Q118" i="2"/>
  <c r="Q117" i="2"/>
  <c r="Q116" i="2"/>
  <c r="Q115" i="2"/>
  <c r="Q114" i="2"/>
  <c r="Q113" i="2"/>
  <c r="Q112" i="2"/>
  <c r="Q111" i="2"/>
  <c r="Q110" i="2"/>
  <c r="Q109" i="2"/>
  <c r="Q108" i="2"/>
  <c r="Q107" i="2"/>
  <c r="C120" i="2"/>
  <c r="D120" i="2" s="1"/>
  <c r="C119" i="2"/>
  <c r="D119" i="2" s="1"/>
  <c r="C118" i="2"/>
  <c r="D118" i="2" s="1"/>
  <c r="C117" i="2"/>
  <c r="D117" i="2" s="1"/>
  <c r="C116" i="2"/>
  <c r="D116" i="2" s="1"/>
  <c r="C115" i="2"/>
  <c r="D115" i="2" s="1"/>
  <c r="C114" i="2"/>
  <c r="D114" i="2" s="1"/>
  <c r="C113" i="2"/>
  <c r="D113" i="2" s="1"/>
  <c r="C112" i="2"/>
  <c r="D112" i="2" s="1"/>
  <c r="C111" i="2"/>
  <c r="D111" i="2" s="1"/>
  <c r="C110" i="2"/>
  <c r="C109" i="2"/>
  <c r="D109" i="2" s="1"/>
  <c r="C108" i="2"/>
  <c r="D108" i="2" s="1"/>
  <c r="C107" i="2"/>
  <c r="O120" i="2"/>
  <c r="B120" i="2"/>
  <c r="O119" i="2"/>
  <c r="B119" i="2"/>
  <c r="O118" i="2"/>
  <c r="B118" i="2"/>
  <c r="O117" i="2"/>
  <c r="B117" i="2"/>
  <c r="O116" i="2"/>
  <c r="B116" i="2"/>
  <c r="O115" i="2"/>
  <c r="B115" i="2"/>
  <c r="O114" i="2"/>
  <c r="B114" i="2"/>
  <c r="O113" i="2"/>
  <c r="B113" i="2"/>
  <c r="O112" i="2"/>
  <c r="B112" i="2"/>
  <c r="O111" i="2"/>
  <c r="B111" i="2"/>
  <c r="O110" i="2"/>
  <c r="B110" i="2"/>
  <c r="O109" i="2"/>
  <c r="B109" i="2"/>
  <c r="O108" i="2"/>
  <c r="B108" i="2"/>
  <c r="O107" i="2"/>
  <c r="B107" i="2"/>
  <c r="Q106" i="2"/>
  <c r="Q105" i="2"/>
  <c r="Q104" i="2"/>
  <c r="Q103" i="2"/>
  <c r="Q102" i="2"/>
  <c r="Q101" i="2"/>
  <c r="Q100" i="2"/>
  <c r="Q99" i="2"/>
  <c r="Q98" i="2"/>
  <c r="Q97" i="2"/>
  <c r="Q96" i="2"/>
  <c r="Q95" i="2"/>
  <c r="Q94" i="2"/>
  <c r="Q93" i="2"/>
  <c r="C105" i="2"/>
  <c r="D105" i="2" s="1"/>
  <c r="C104" i="2"/>
  <c r="C95" i="2"/>
  <c r="C103" i="2"/>
  <c r="C102" i="2"/>
  <c r="C106" i="2"/>
  <c r="C101" i="2"/>
  <c r="C100" i="2"/>
  <c r="C99" i="2"/>
  <c r="C98" i="2"/>
  <c r="C97" i="2"/>
  <c r="C16" i="2"/>
  <c r="C82" i="2"/>
  <c r="C96" i="2"/>
  <c r="C94" i="2"/>
  <c r="D94" i="2" s="1"/>
  <c r="C93" i="2"/>
  <c r="C13" i="2"/>
  <c r="C79" i="2"/>
  <c r="O106" i="2"/>
  <c r="B106" i="2"/>
  <c r="O105" i="2"/>
  <c r="B105" i="2"/>
  <c r="O104" i="2"/>
  <c r="B104" i="2"/>
  <c r="O103" i="2"/>
  <c r="B103" i="2"/>
  <c r="O102" i="2"/>
  <c r="B102" i="2"/>
  <c r="O101" i="2"/>
  <c r="B101" i="2"/>
  <c r="O100" i="2"/>
  <c r="B100" i="2"/>
  <c r="O99" i="2"/>
  <c r="B99" i="2"/>
  <c r="O98" i="2"/>
  <c r="B98" i="2"/>
  <c r="O97" i="2"/>
  <c r="B97" i="2"/>
  <c r="O96" i="2"/>
  <c r="B96" i="2"/>
  <c r="O95" i="2"/>
  <c r="B95" i="2"/>
  <c r="O94" i="2"/>
  <c r="B94" i="2"/>
  <c r="O93" i="2"/>
  <c r="B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C92" i="2"/>
  <c r="C91" i="2"/>
  <c r="D91" i="2" s="1"/>
  <c r="C90" i="2"/>
  <c r="D90" i="2" s="1"/>
  <c r="C89" i="2"/>
  <c r="D89" i="2" s="1"/>
  <c r="C88" i="2"/>
  <c r="C87" i="2"/>
  <c r="C86" i="2"/>
  <c r="C85" i="2"/>
  <c r="C84" i="2"/>
  <c r="C83" i="2"/>
  <c r="C81" i="2"/>
  <c r="C80" i="2"/>
  <c r="O92" i="2"/>
  <c r="B92" i="2"/>
  <c r="O91" i="2"/>
  <c r="B91" i="2"/>
  <c r="O90" i="2"/>
  <c r="B90" i="2"/>
  <c r="O89" i="2"/>
  <c r="B89" i="2"/>
  <c r="O88" i="2"/>
  <c r="B88" i="2"/>
  <c r="O87" i="2"/>
  <c r="B87" i="2"/>
  <c r="O86" i="2"/>
  <c r="B86" i="2"/>
  <c r="O85" i="2"/>
  <c r="B85" i="2"/>
  <c r="O84" i="2"/>
  <c r="B84" i="2"/>
  <c r="O83" i="2"/>
  <c r="B83" i="2"/>
  <c r="O82" i="2"/>
  <c r="B82" i="2"/>
  <c r="O81" i="2"/>
  <c r="B81" i="2"/>
  <c r="O80" i="2"/>
  <c r="B80" i="2"/>
  <c r="O79" i="2"/>
  <c r="B79" i="2"/>
  <c r="B197" i="2"/>
  <c r="B196" i="2"/>
  <c r="M197" i="2"/>
  <c r="M196" i="2"/>
  <c r="K197" i="2"/>
  <c r="K196" i="2"/>
  <c r="Q78" i="2"/>
  <c r="Q77" i="2"/>
  <c r="B78" i="2"/>
  <c r="B77" i="2"/>
  <c r="O78" i="2"/>
  <c r="O77" i="2"/>
  <c r="Q69" i="2"/>
  <c r="Q68" i="2"/>
  <c r="O68" i="2"/>
  <c r="O69" i="2"/>
  <c r="O70" i="2"/>
  <c r="C69" i="2"/>
  <c r="C68" i="2"/>
  <c r="D68" i="2" s="1"/>
  <c r="B69" i="2"/>
  <c r="B68" i="2"/>
  <c r="AT167" i="2"/>
  <c r="AT166" i="2"/>
  <c r="AT165" i="2"/>
  <c r="AT164" i="2"/>
  <c r="AT163" i="2"/>
  <c r="AT162" i="2"/>
  <c r="AT161" i="2"/>
  <c r="AT160" i="2"/>
  <c r="AT159" i="2"/>
  <c r="AT158" i="2"/>
  <c r="AT157" i="2"/>
  <c r="AT156" i="2"/>
  <c r="L158" i="2"/>
  <c r="L159" i="2"/>
  <c r="L160" i="2"/>
  <c r="L161" i="2"/>
  <c r="L162" i="2"/>
  <c r="L163" i="2"/>
  <c r="L157" i="2"/>
  <c r="L146" i="2"/>
  <c r="L147" i="2"/>
  <c r="L148" i="2"/>
  <c r="L149" i="2"/>
  <c r="L150" i="2"/>
  <c r="L151" i="2"/>
  <c r="L145" i="2"/>
  <c r="C171" i="2"/>
  <c r="D171" i="2" s="1"/>
  <c r="B171" i="2"/>
  <c r="B157" i="2"/>
  <c r="B158" i="2"/>
  <c r="B159" i="2"/>
  <c r="B160" i="2"/>
  <c r="B161" i="2"/>
  <c r="B162" i="2"/>
  <c r="B163" i="2"/>
  <c r="B164" i="2"/>
  <c r="B165" i="2"/>
  <c r="B166" i="2"/>
  <c r="B167" i="2"/>
  <c r="B156" i="2"/>
  <c r="AR167" i="2"/>
  <c r="AP167" i="2"/>
  <c r="AO167" i="2"/>
  <c r="M167" i="2"/>
  <c r="AR166" i="2"/>
  <c r="AP166" i="2"/>
  <c r="AO166" i="2"/>
  <c r="M166" i="2"/>
  <c r="AR165" i="2"/>
  <c r="O165" i="2"/>
  <c r="AP165" i="2" s="1"/>
  <c r="N165" i="2"/>
  <c r="AO165" i="2" s="1"/>
  <c r="L165" i="2"/>
  <c r="AR164" i="2"/>
  <c r="AP164" i="2"/>
  <c r="AO164" i="2"/>
  <c r="M164" i="2"/>
  <c r="AR163" i="2"/>
  <c r="O163" i="2"/>
  <c r="AP163" i="2" s="1"/>
  <c r="N163" i="2"/>
  <c r="AO163" i="2" s="1"/>
  <c r="AR162" i="2"/>
  <c r="O162" i="2"/>
  <c r="AP162" i="2" s="1"/>
  <c r="N162" i="2"/>
  <c r="AO162" i="2" s="1"/>
  <c r="AR161" i="2"/>
  <c r="O161" i="2"/>
  <c r="AP161" i="2" s="1"/>
  <c r="N161" i="2"/>
  <c r="AO161" i="2" s="1"/>
  <c r="AR160" i="2"/>
  <c r="O160" i="2"/>
  <c r="AP160" i="2" s="1"/>
  <c r="N160" i="2"/>
  <c r="AO160" i="2" s="1"/>
  <c r="AR159" i="2"/>
  <c r="O159" i="2"/>
  <c r="AP159" i="2" s="1"/>
  <c r="N159" i="2"/>
  <c r="AO159" i="2" s="1"/>
  <c r="AR158" i="2"/>
  <c r="O158" i="2"/>
  <c r="N158" i="2"/>
  <c r="AO158" i="2" s="1"/>
  <c r="AR157" i="2"/>
  <c r="O157" i="2"/>
  <c r="N157" i="2"/>
  <c r="M157" i="2" s="1"/>
  <c r="AR156" i="2"/>
  <c r="AP156" i="2"/>
  <c r="AO156" i="2"/>
  <c r="M156" i="2"/>
  <c r="AT137" i="2"/>
  <c r="AT136" i="2"/>
  <c r="AT135" i="2"/>
  <c r="AT134" i="2"/>
  <c r="B135" i="2"/>
  <c r="B136" i="2"/>
  <c r="B137" i="2"/>
  <c r="B134" i="2"/>
  <c r="AR137" i="2"/>
  <c r="AP137" i="2"/>
  <c r="AO137" i="2"/>
  <c r="M137" i="2"/>
  <c r="AR136" i="2"/>
  <c r="AP136" i="2"/>
  <c r="AO136" i="2"/>
  <c r="M136" i="2"/>
  <c r="AR135" i="2"/>
  <c r="AP135" i="2"/>
  <c r="AO135" i="2"/>
  <c r="M135" i="2"/>
  <c r="AR134" i="2"/>
  <c r="AP134" i="2"/>
  <c r="AO134" i="2"/>
  <c r="M134" i="2"/>
  <c r="Q76" i="2"/>
  <c r="Q75" i="2"/>
  <c r="Q74" i="2"/>
  <c r="Q73" i="2"/>
  <c r="Q72" i="2"/>
  <c r="Q71" i="2"/>
  <c r="Q70" i="2"/>
  <c r="B76" i="2"/>
  <c r="B75" i="2"/>
  <c r="B74" i="2"/>
  <c r="B73" i="2"/>
  <c r="B72" i="2"/>
  <c r="B71" i="2"/>
  <c r="B70" i="2"/>
  <c r="O76" i="2"/>
  <c r="O75" i="2"/>
  <c r="O74" i="2"/>
  <c r="O73" i="2"/>
  <c r="O72" i="2"/>
  <c r="O71" i="2"/>
  <c r="C6" i="2"/>
  <c r="D6" i="2" s="1"/>
  <c r="B6" i="2"/>
  <c r="B5" i="2"/>
  <c r="B148" i="2"/>
  <c r="B147" i="2"/>
  <c r="B146" i="2"/>
  <c r="B145" i="2"/>
  <c r="B144" i="2"/>
  <c r="AT155" i="2"/>
  <c r="AT154" i="2"/>
  <c r="AT153" i="2"/>
  <c r="AT152" i="2"/>
  <c r="AT151" i="2"/>
  <c r="AT150" i="2"/>
  <c r="AT149" i="2"/>
  <c r="AT148" i="2"/>
  <c r="AT147" i="2"/>
  <c r="AT146" i="2"/>
  <c r="AT145" i="2"/>
  <c r="AT144" i="2"/>
  <c r="O153" i="2"/>
  <c r="AP153" i="2" s="1"/>
  <c r="N153" i="2"/>
  <c r="AO153" i="2" s="1"/>
  <c r="N146" i="2"/>
  <c r="M146" i="2" s="1"/>
  <c r="O146" i="2"/>
  <c r="N147" i="2"/>
  <c r="AO147" i="2" s="1"/>
  <c r="O147" i="2"/>
  <c r="AP147" i="2" s="1"/>
  <c r="N148" i="2"/>
  <c r="AO148" i="2" s="1"/>
  <c r="O148" i="2"/>
  <c r="AP148" i="2" s="1"/>
  <c r="N149" i="2"/>
  <c r="M149" i="2" s="1"/>
  <c r="O149" i="2"/>
  <c r="AP149" i="2" s="1"/>
  <c r="N150" i="2"/>
  <c r="AO150" i="2" s="1"/>
  <c r="O150" i="2"/>
  <c r="AP150" i="2" s="1"/>
  <c r="N151" i="2"/>
  <c r="AO151" i="2" s="1"/>
  <c r="O151" i="2"/>
  <c r="AP151" i="2" s="1"/>
  <c r="N145" i="2"/>
  <c r="M145" i="2" s="1"/>
  <c r="O145" i="2"/>
  <c r="B150" i="2"/>
  <c r="B151" i="2"/>
  <c r="B152" i="2"/>
  <c r="B153" i="2"/>
  <c r="B154" i="2"/>
  <c r="B155" i="2"/>
  <c r="B149" i="2"/>
  <c r="AR155" i="2"/>
  <c r="AP155" i="2"/>
  <c r="AO155" i="2"/>
  <c r="M155" i="2"/>
  <c r="AR154" i="2"/>
  <c r="AP154" i="2"/>
  <c r="AO154" i="2"/>
  <c r="M154" i="2"/>
  <c r="AR153" i="2"/>
  <c r="L153" i="2"/>
  <c r="AR152" i="2"/>
  <c r="AP152" i="2"/>
  <c r="AO152" i="2"/>
  <c r="M152" i="2"/>
  <c r="AR151" i="2"/>
  <c r="AR150" i="2"/>
  <c r="AR149" i="2"/>
  <c r="AR148" i="2"/>
  <c r="AR147" i="2"/>
  <c r="AR146" i="2"/>
  <c r="AR145" i="2"/>
  <c r="AR144" i="2"/>
  <c r="AP144" i="2"/>
  <c r="AO144" i="2"/>
  <c r="M144" i="2"/>
  <c r="C170" i="2"/>
  <c r="D170" i="2" s="1"/>
  <c r="B170" i="2"/>
  <c r="AT133" i="2"/>
  <c r="AT132" i="2"/>
  <c r="AT131" i="2"/>
  <c r="AT130" i="2"/>
  <c r="B131" i="2"/>
  <c r="B132" i="2"/>
  <c r="B133" i="2"/>
  <c r="B130" i="2"/>
  <c r="AR133" i="2"/>
  <c r="AP133" i="2"/>
  <c r="AO133" i="2"/>
  <c r="M133" i="2"/>
  <c r="AR132" i="2"/>
  <c r="AP132" i="2"/>
  <c r="AO132" i="2"/>
  <c r="M132" i="2"/>
  <c r="AR131" i="2"/>
  <c r="AP131" i="2"/>
  <c r="AO131" i="2"/>
  <c r="M131" i="2"/>
  <c r="AR130" i="2"/>
  <c r="AP130" i="2"/>
  <c r="AO130" i="2"/>
  <c r="M130" i="2"/>
  <c r="Q67" i="2"/>
  <c r="Q66" i="2"/>
  <c r="Q65" i="2"/>
  <c r="Q64" i="2"/>
  <c r="Q63" i="2"/>
  <c r="Q62" i="2"/>
  <c r="C5" i="2"/>
  <c r="B62" i="2"/>
  <c r="B63" i="2"/>
  <c r="B64" i="2"/>
  <c r="B65" i="2"/>
  <c r="B66" i="2"/>
  <c r="B67" i="2"/>
  <c r="O67" i="2"/>
  <c r="O66" i="2"/>
  <c r="O65" i="2"/>
  <c r="O64" i="2"/>
  <c r="O63" i="2"/>
  <c r="O62" i="2"/>
  <c r="Q61" i="2"/>
  <c r="B61" i="2"/>
  <c r="O61" i="2"/>
  <c r="K75" i="1"/>
  <c r="K76" i="1"/>
  <c r="K77" i="1"/>
  <c r="K78" i="1"/>
  <c r="K74" i="1"/>
  <c r="K179" i="2"/>
  <c r="K180" i="2"/>
  <c r="K181" i="2"/>
  <c r="K178" i="2"/>
  <c r="C180" i="2"/>
  <c r="D180" i="2" s="1"/>
  <c r="C179" i="2"/>
  <c r="D179" i="2" s="1"/>
  <c r="C177" i="2"/>
  <c r="D177" i="2" s="1"/>
  <c r="C178" i="2"/>
  <c r="M180" i="2"/>
  <c r="M179" i="2"/>
  <c r="M178" i="2"/>
  <c r="M177" i="2"/>
  <c r="C181" i="2"/>
  <c r="D181" i="2" s="1"/>
  <c r="B181" i="2"/>
  <c r="M181" i="2"/>
  <c r="B180" i="2"/>
  <c r="B179" i="2"/>
  <c r="B178" i="2"/>
  <c r="B177" i="2"/>
  <c r="C77" i="1"/>
  <c r="D77" i="1" s="1"/>
  <c r="C36" i="1"/>
  <c r="C35" i="1"/>
  <c r="C34" i="1"/>
  <c r="C33" i="1"/>
  <c r="C32" i="1"/>
  <c r="C31" i="1"/>
  <c r="C45" i="2"/>
  <c r="C60" i="2"/>
  <c r="C54" i="2"/>
  <c r="C51" i="2"/>
  <c r="D51" i="2" s="1"/>
  <c r="C59" i="2"/>
  <c r="D59" i="2" s="1"/>
  <c r="C58" i="2"/>
  <c r="D58" i="2" s="1"/>
  <c r="C53" i="2"/>
  <c r="D53" i="2" s="1"/>
  <c r="Q59" i="2"/>
  <c r="Q58" i="2"/>
  <c r="Q57" i="2"/>
  <c r="Q56" i="2"/>
  <c r="Q54" i="2"/>
  <c r="Q53" i="2"/>
  <c r="Q52" i="2"/>
  <c r="Q51" i="2"/>
  <c r="C57" i="2"/>
  <c r="D57" i="2" s="1"/>
  <c r="C56" i="2"/>
  <c r="C52" i="2"/>
  <c r="Q60" i="2"/>
  <c r="B60" i="2"/>
  <c r="B59" i="2"/>
  <c r="B58" i="2"/>
  <c r="B57" i="2"/>
  <c r="B56" i="2"/>
  <c r="Q55" i="2"/>
  <c r="C55" i="2"/>
  <c r="B55" i="2"/>
  <c r="B54" i="2"/>
  <c r="B53" i="2"/>
  <c r="B52" i="2"/>
  <c r="B51" i="2"/>
  <c r="Q26" i="2"/>
  <c r="Q25" i="2"/>
  <c r="Q24" i="2"/>
  <c r="C23" i="2"/>
  <c r="C26" i="2"/>
  <c r="D26" i="2" s="1"/>
  <c r="C25" i="2"/>
  <c r="D25" i="2" s="1"/>
  <c r="C24" i="2"/>
  <c r="D24" i="2" s="1"/>
  <c r="O26" i="2"/>
  <c r="B26" i="2"/>
  <c r="O25" i="2"/>
  <c r="B25" i="2"/>
  <c r="O24" i="2"/>
  <c r="B24" i="2"/>
  <c r="Q23" i="2"/>
  <c r="O23" i="2"/>
  <c r="B23" i="2"/>
  <c r="Q21" i="2"/>
  <c r="C21" i="2"/>
  <c r="O21" i="2"/>
  <c r="B21" i="2"/>
  <c r="Q22" i="2"/>
  <c r="C22" i="2"/>
  <c r="O22" i="2"/>
  <c r="B22" i="2"/>
  <c r="C20" i="2"/>
  <c r="Q20" i="2"/>
  <c r="O20" i="2"/>
  <c r="B20" i="2"/>
  <c r="Q19" i="2"/>
  <c r="C19" i="2"/>
  <c r="D19" i="2" s="1"/>
  <c r="O19" i="2"/>
  <c r="B19" i="2"/>
  <c r="Q18" i="2"/>
  <c r="C18" i="2"/>
  <c r="O18" i="2"/>
  <c r="B18" i="2"/>
  <c r="Q16" i="2"/>
  <c r="O16" i="2"/>
  <c r="B16" i="2"/>
  <c r="Q13" i="2"/>
  <c r="C14" i="2"/>
  <c r="D14" i="2" s="1"/>
  <c r="C15" i="2"/>
  <c r="O13" i="2"/>
  <c r="B13" i="2"/>
  <c r="Q11" i="2"/>
  <c r="C11" i="2"/>
  <c r="O11" i="2"/>
  <c r="B11" i="2"/>
  <c r="Q44" i="2"/>
  <c r="Q43" i="2"/>
  <c r="C44" i="2"/>
  <c r="D44" i="2" s="1"/>
  <c r="C43" i="2"/>
  <c r="O43" i="2"/>
  <c r="B43" i="2"/>
  <c r="Q42" i="2"/>
  <c r="O42" i="2"/>
  <c r="C42" i="2"/>
  <c r="B42" i="2"/>
  <c r="AT143" i="2"/>
  <c r="AT142" i="2"/>
  <c r="N143" i="2"/>
  <c r="AO143" i="2" s="1"/>
  <c r="N142" i="2"/>
  <c r="M142" i="2" s="1"/>
  <c r="O143" i="2"/>
  <c r="O142" i="2"/>
  <c r="L143" i="2"/>
  <c r="L142" i="2"/>
  <c r="C143" i="2"/>
  <c r="D143" i="2" s="1"/>
  <c r="C142" i="2"/>
  <c r="D142" i="2" s="1"/>
  <c r="AR143" i="2"/>
  <c r="B143" i="2"/>
  <c r="AR142" i="2"/>
  <c r="B142" i="2"/>
  <c r="AT141" i="2"/>
  <c r="AT140" i="2"/>
  <c r="AO141" i="2"/>
  <c r="AP141" i="2"/>
  <c r="AP140" i="2"/>
  <c r="AO140" i="2"/>
  <c r="M141" i="2"/>
  <c r="M140" i="2"/>
  <c r="C141" i="2"/>
  <c r="D141" i="2" s="1"/>
  <c r="C140" i="2"/>
  <c r="D140" i="2" s="1"/>
  <c r="AR141" i="2"/>
  <c r="B141" i="2"/>
  <c r="AR140" i="2"/>
  <c r="B140" i="2"/>
  <c r="Q31" i="2"/>
  <c r="AT129" i="2"/>
  <c r="AT128" i="2"/>
  <c r="C129" i="2"/>
  <c r="D129" i="2" s="1"/>
  <c r="C128" i="2"/>
  <c r="D128" i="2" s="1"/>
  <c r="AR129" i="2"/>
  <c r="B129" i="2"/>
  <c r="AR128" i="2"/>
  <c r="B128" i="2"/>
  <c r="AT127" i="2"/>
  <c r="C127" i="2"/>
  <c r="D127" i="2" s="1"/>
  <c r="AR127" i="2"/>
  <c r="B127" i="2"/>
  <c r="Q33" i="2"/>
  <c r="C33" i="2"/>
  <c r="O33" i="2"/>
  <c r="B33" i="2"/>
  <c r="B34" i="2"/>
  <c r="C34" i="2"/>
  <c r="D34" i="2" s="1"/>
  <c r="O34" i="2"/>
  <c r="Q34" i="2"/>
  <c r="AR139" i="2"/>
  <c r="O12" i="2"/>
  <c r="O14" i="2"/>
  <c r="O15" i="2"/>
  <c r="O17" i="2"/>
  <c r="O27" i="2"/>
  <c r="O28" i="2"/>
  <c r="O29" i="2"/>
  <c r="O30" i="2"/>
  <c r="O31" i="2"/>
  <c r="O32" i="2"/>
  <c r="O35" i="2"/>
  <c r="O36" i="2"/>
  <c r="O37" i="2"/>
  <c r="O38" i="2"/>
  <c r="O39" i="2"/>
  <c r="O40" i="2"/>
  <c r="O41" i="2"/>
  <c r="O44" i="2"/>
  <c r="O45" i="2"/>
  <c r="O46" i="2"/>
  <c r="O47" i="2"/>
  <c r="O48" i="2"/>
  <c r="O49" i="2"/>
  <c r="O50" i="2"/>
  <c r="O10" i="2"/>
  <c r="O58" i="2" s="1"/>
  <c r="B9" i="2"/>
  <c r="C9" i="2"/>
  <c r="Q9" i="2"/>
  <c r="C31" i="2"/>
  <c r="B31" i="2"/>
  <c r="Q30" i="2"/>
  <c r="C30" i="2"/>
  <c r="C29" i="2"/>
  <c r="B30" i="2"/>
  <c r="Q28" i="2"/>
  <c r="C28" i="2"/>
  <c r="B28" i="2"/>
  <c r="AT139" i="2"/>
  <c r="C139" i="2"/>
  <c r="D139" i="2" s="1"/>
  <c r="Q50" i="2"/>
  <c r="Q49" i="2"/>
  <c r="Q48" i="2"/>
  <c r="Q47" i="2"/>
  <c r="Q46" i="2"/>
  <c r="Q45" i="2"/>
  <c r="Q41" i="2"/>
  <c r="Q40" i="2"/>
  <c r="Q39" i="2"/>
  <c r="Q38" i="2"/>
  <c r="Q37" i="2"/>
  <c r="Q36" i="2"/>
  <c r="Q35" i="2"/>
  <c r="Q32" i="2"/>
  <c r="Q29" i="2"/>
  <c r="Q27" i="2"/>
  <c r="Q17" i="2"/>
  <c r="Q15" i="2"/>
  <c r="Q14" i="2"/>
  <c r="Q12" i="2"/>
  <c r="Q10" i="2"/>
  <c r="C50" i="2"/>
  <c r="C49" i="2"/>
  <c r="D49" i="2" s="1"/>
  <c r="C48" i="2"/>
  <c r="D48" i="2" s="1"/>
  <c r="C47" i="2"/>
  <c r="D47" i="2" s="1"/>
  <c r="C46" i="2"/>
  <c r="C41" i="2"/>
  <c r="C40" i="2"/>
  <c r="C39" i="2"/>
  <c r="C38" i="2"/>
  <c r="C37" i="2"/>
  <c r="D37" i="2" s="1"/>
  <c r="C36" i="2"/>
  <c r="C35" i="2"/>
  <c r="C32" i="2"/>
  <c r="C27" i="2"/>
  <c r="C17" i="2"/>
  <c r="C12" i="2"/>
  <c r="C10" i="2"/>
  <c r="K169" i="2"/>
  <c r="J169" i="2"/>
  <c r="C169" i="2"/>
  <c r="D169" i="2" s="1"/>
  <c r="B169" i="2"/>
  <c r="B139" i="2"/>
  <c r="B12" i="2"/>
  <c r="B14" i="2"/>
  <c r="B15" i="2"/>
  <c r="B17" i="2"/>
  <c r="B27" i="2"/>
  <c r="B29" i="2"/>
  <c r="B32" i="2"/>
  <c r="B35" i="2"/>
  <c r="B36" i="2"/>
  <c r="B37" i="2"/>
  <c r="B38" i="2"/>
  <c r="B39" i="2"/>
  <c r="B40" i="2"/>
  <c r="B41" i="2"/>
  <c r="B44" i="2"/>
  <c r="B45" i="2"/>
  <c r="B46" i="2"/>
  <c r="B47" i="2"/>
  <c r="B48" i="2"/>
  <c r="B49" i="2"/>
  <c r="B50" i="2"/>
  <c r="B10" i="2"/>
  <c r="M78" i="1"/>
  <c r="M77" i="1"/>
  <c r="M76" i="1"/>
  <c r="M75" i="1"/>
  <c r="M74" i="1"/>
  <c r="M73" i="1"/>
  <c r="L55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47" i="1"/>
  <c r="AR43" i="1"/>
  <c r="AR44" i="1"/>
  <c r="AR45" i="1"/>
  <c r="AR42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7" i="1"/>
  <c r="C78" i="1"/>
  <c r="D78" i="1" s="1"/>
  <c r="C76" i="1"/>
  <c r="D76" i="1" s="1"/>
  <c r="C75" i="1"/>
  <c r="D75" i="1" s="1"/>
  <c r="C74" i="1"/>
  <c r="D74" i="1" s="1"/>
  <c r="C73" i="1"/>
  <c r="B74" i="1"/>
  <c r="B75" i="1"/>
  <c r="B76" i="1"/>
  <c r="B77" i="1"/>
  <c r="B78" i="1"/>
  <c r="B73" i="1"/>
  <c r="AP145" i="2" l="1"/>
  <c r="Q145" i="2"/>
  <c r="AP146" i="2"/>
  <c r="Q146" i="2"/>
  <c r="AP142" i="2"/>
  <c r="Q142" i="2"/>
  <c r="O73" i="1"/>
  <c r="D73" i="1"/>
  <c r="AP157" i="2"/>
  <c r="Q157" i="2"/>
  <c r="AP158" i="2"/>
  <c r="Q158" i="2"/>
  <c r="AP143" i="2"/>
  <c r="Q143" i="2"/>
  <c r="O178" i="2"/>
  <c r="D178" i="2"/>
  <c r="AV73" i="4"/>
  <c r="D73" i="4"/>
  <c r="S9" i="2"/>
  <c r="D9" i="2"/>
  <c r="S20" i="2"/>
  <c r="D20" i="2"/>
  <c r="S99" i="2"/>
  <c r="D99" i="2"/>
  <c r="S114" i="2"/>
  <c r="S12" i="2"/>
  <c r="D12" i="2"/>
  <c r="AV127" i="2"/>
  <c r="S10" i="2"/>
  <c r="D10" i="2"/>
  <c r="S42" i="2"/>
  <c r="D42" i="2"/>
  <c r="S86" i="2"/>
  <c r="D86" i="2"/>
  <c r="S13" i="2"/>
  <c r="D13" i="2"/>
  <c r="K170" i="2"/>
  <c r="S100" i="2"/>
  <c r="D100" i="2"/>
  <c r="S115" i="2"/>
  <c r="O182" i="2"/>
  <c r="S40" i="2"/>
  <c r="D40" i="2"/>
  <c r="S27" i="2"/>
  <c r="D27" i="2"/>
  <c r="O177" i="2"/>
  <c r="S80" i="2"/>
  <c r="D80" i="2"/>
  <c r="S106" i="2"/>
  <c r="D106" i="2"/>
  <c r="S117" i="2"/>
  <c r="S22" i="2"/>
  <c r="D22" i="2"/>
  <c r="O179" i="2"/>
  <c r="S81" i="2"/>
  <c r="D81" i="2"/>
  <c r="S118" i="2"/>
  <c r="S35" i="2"/>
  <c r="D35" i="2"/>
  <c r="S31" i="2"/>
  <c r="D31" i="2"/>
  <c r="AV141" i="2"/>
  <c r="AV143" i="2"/>
  <c r="S18" i="2"/>
  <c r="D18" i="2"/>
  <c r="S55" i="2"/>
  <c r="D55" i="2"/>
  <c r="S54" i="2"/>
  <c r="D54" i="2"/>
  <c r="O181" i="2"/>
  <c r="O180" i="2"/>
  <c r="S69" i="2"/>
  <c r="D69" i="2"/>
  <c r="S83" i="2"/>
  <c r="D83" i="2"/>
  <c r="S16" i="2"/>
  <c r="D16" i="2"/>
  <c r="S103" i="2"/>
  <c r="D103" i="2"/>
  <c r="O186" i="2"/>
  <c r="O194" i="2"/>
  <c r="S50" i="2"/>
  <c r="D50" i="2"/>
  <c r="S29" i="2"/>
  <c r="D29" i="2"/>
  <c r="O189" i="2"/>
  <c r="S30" i="2"/>
  <c r="D30" i="2"/>
  <c r="S107" i="2"/>
  <c r="D107" i="2"/>
  <c r="S101" i="2"/>
  <c r="D101" i="2"/>
  <c r="S41" i="2"/>
  <c r="D41" i="2"/>
  <c r="S15" i="2"/>
  <c r="D15" i="2"/>
  <c r="S46" i="2"/>
  <c r="D46" i="2"/>
  <c r="S33" i="2"/>
  <c r="D33" i="2"/>
  <c r="AV140" i="2"/>
  <c r="S82" i="2"/>
  <c r="D82" i="2"/>
  <c r="S110" i="2"/>
  <c r="D110" i="2"/>
  <c r="S11" i="2"/>
  <c r="D11" i="2"/>
  <c r="S52" i="2"/>
  <c r="D52" i="2"/>
  <c r="S60" i="2"/>
  <c r="D60" i="2"/>
  <c r="S84" i="2"/>
  <c r="D84" i="2"/>
  <c r="S92" i="2"/>
  <c r="D92" i="2"/>
  <c r="S97" i="2"/>
  <c r="D97" i="2"/>
  <c r="S95" i="2"/>
  <c r="D95" i="2"/>
  <c r="S112" i="2"/>
  <c r="S120" i="2"/>
  <c r="O187" i="2"/>
  <c r="O195" i="2"/>
  <c r="S38" i="2"/>
  <c r="D38" i="2"/>
  <c r="S39" i="2"/>
  <c r="D39" i="2"/>
  <c r="AV128" i="2"/>
  <c r="S21" i="2"/>
  <c r="D21" i="2"/>
  <c r="S87" i="2"/>
  <c r="D87" i="2"/>
  <c r="S93" i="2"/>
  <c r="D93" i="2"/>
  <c r="S17" i="2"/>
  <c r="D17" i="2"/>
  <c r="AV129" i="2"/>
  <c r="S88" i="2"/>
  <c r="D88" i="2"/>
  <c r="S23" i="2"/>
  <c r="D23" i="2"/>
  <c r="S96" i="2"/>
  <c r="D96" i="2"/>
  <c r="S32" i="2"/>
  <c r="D32" i="2"/>
  <c r="S28" i="2"/>
  <c r="D28" i="2"/>
  <c r="C64" i="2"/>
  <c r="D5" i="2"/>
  <c r="S102" i="2"/>
  <c r="D102" i="2"/>
  <c r="S36" i="2"/>
  <c r="D36" i="2"/>
  <c r="S43" i="2"/>
  <c r="D43" i="2"/>
  <c r="S56" i="2"/>
  <c r="D56" i="2"/>
  <c r="S45" i="2"/>
  <c r="D45" i="2"/>
  <c r="S85" i="2"/>
  <c r="D85" i="2"/>
  <c r="S79" i="2"/>
  <c r="D79" i="2"/>
  <c r="S98" i="2"/>
  <c r="D98" i="2"/>
  <c r="S104" i="2"/>
  <c r="D104" i="2"/>
  <c r="S113" i="2"/>
  <c r="C65" i="2"/>
  <c r="O190" i="2"/>
  <c r="C78" i="2"/>
  <c r="D78" i="2" s="1"/>
  <c r="C77" i="2"/>
  <c r="D77" i="2" s="1"/>
  <c r="O77" i="1"/>
  <c r="O76" i="1"/>
  <c r="O78" i="1"/>
  <c r="O74" i="1"/>
  <c r="O75" i="1"/>
  <c r="AV62" i="4"/>
  <c r="D64" i="4"/>
  <c r="D43" i="4"/>
  <c r="D55" i="4"/>
  <c r="AV55" i="4"/>
  <c r="D69" i="4"/>
  <c r="D63" i="4"/>
  <c r="D58" i="4"/>
  <c r="AV58" i="4"/>
  <c r="S38" i="4"/>
  <c r="D38" i="4"/>
  <c r="D37" i="4"/>
  <c r="AV66" i="4"/>
  <c r="D66" i="4"/>
  <c r="D42" i="4"/>
  <c r="S42" i="4"/>
  <c r="D72" i="4"/>
  <c r="AV72" i="4"/>
  <c r="D39" i="4"/>
  <c r="S39" i="4"/>
  <c r="D70" i="4"/>
  <c r="AV70" i="4"/>
  <c r="D67" i="4"/>
  <c r="AV67" i="4"/>
  <c r="AV65" i="4"/>
  <c r="D65" i="4"/>
  <c r="D56" i="4"/>
  <c r="AV56" i="4"/>
  <c r="D41" i="4"/>
  <c r="S41" i="4"/>
  <c r="D40" i="4"/>
  <c r="S40" i="4"/>
  <c r="AV68" i="4"/>
  <c r="D68" i="4"/>
  <c r="AV57" i="4"/>
  <c r="D57" i="4"/>
  <c r="O192" i="2"/>
  <c r="O184" i="2"/>
  <c r="O185" i="2"/>
  <c r="O193" i="2"/>
  <c r="M153" i="2"/>
  <c r="O188" i="2"/>
  <c r="S89" i="2"/>
  <c r="O183" i="2"/>
  <c r="O191" i="2"/>
  <c r="C131" i="2"/>
  <c r="D131" i="2" s="1"/>
  <c r="M163" i="2"/>
  <c r="C62" i="2"/>
  <c r="C72" i="2"/>
  <c r="D72" i="2" s="1"/>
  <c r="C167" i="2"/>
  <c r="D167" i="2" s="1"/>
  <c r="C73" i="2"/>
  <c r="D73" i="2" s="1"/>
  <c r="AO149" i="2"/>
  <c r="M160" i="2"/>
  <c r="C75" i="2"/>
  <c r="D75" i="2" s="1"/>
  <c r="C156" i="2"/>
  <c r="D156" i="2" s="1"/>
  <c r="S68" i="2"/>
  <c r="M148" i="2"/>
  <c r="C76" i="2"/>
  <c r="C134" i="2"/>
  <c r="D134" i="2" s="1"/>
  <c r="C158" i="2"/>
  <c r="D158" i="2" s="1"/>
  <c r="C136" i="2"/>
  <c r="D136" i="2" s="1"/>
  <c r="C159" i="2"/>
  <c r="D159" i="2" s="1"/>
  <c r="J170" i="2"/>
  <c r="C63" i="2"/>
  <c r="AO145" i="2"/>
  <c r="C151" i="2"/>
  <c r="D151" i="2" s="1"/>
  <c r="C145" i="2"/>
  <c r="D145" i="2" s="1"/>
  <c r="C137" i="2"/>
  <c r="D137" i="2" s="1"/>
  <c r="C163" i="2"/>
  <c r="D163" i="2" s="1"/>
  <c r="C153" i="2"/>
  <c r="D153" i="2" s="1"/>
  <c r="C154" i="2"/>
  <c r="D154" i="2" s="1"/>
  <c r="C147" i="2"/>
  <c r="D147" i="2" s="1"/>
  <c r="C164" i="2"/>
  <c r="D164" i="2" s="1"/>
  <c r="K171" i="2"/>
  <c r="C197" i="2"/>
  <c r="D197" i="2" s="1"/>
  <c r="S105" i="2"/>
  <c r="S109" i="2"/>
  <c r="C66" i="2"/>
  <c r="C130" i="2"/>
  <c r="D130" i="2" s="1"/>
  <c r="C144" i="2"/>
  <c r="D144" i="2" s="1"/>
  <c r="C148" i="2"/>
  <c r="D148" i="2" s="1"/>
  <c r="C166" i="2"/>
  <c r="D166" i="2" s="1"/>
  <c r="S90" i="2"/>
  <c r="S111" i="2"/>
  <c r="S119" i="2"/>
  <c r="C155" i="2"/>
  <c r="D155" i="2" s="1"/>
  <c r="C146" i="2"/>
  <c r="D146" i="2" s="1"/>
  <c r="C74" i="2"/>
  <c r="D74" i="2" s="1"/>
  <c r="C135" i="2"/>
  <c r="D135" i="2" s="1"/>
  <c r="M159" i="2"/>
  <c r="M162" i="2"/>
  <c r="C157" i="2"/>
  <c r="D157" i="2" s="1"/>
  <c r="C165" i="2"/>
  <c r="D165" i="2" s="1"/>
  <c r="J171" i="2"/>
  <c r="C196" i="2"/>
  <c r="D196" i="2" s="1"/>
  <c r="C132" i="2"/>
  <c r="D132" i="2" s="1"/>
  <c r="C152" i="2"/>
  <c r="D152" i="2" s="1"/>
  <c r="C160" i="2"/>
  <c r="D160" i="2" s="1"/>
  <c r="S94" i="2"/>
  <c r="C133" i="2"/>
  <c r="D133" i="2" s="1"/>
  <c r="C149" i="2"/>
  <c r="D149" i="2" s="1"/>
  <c r="C70" i="2"/>
  <c r="C161" i="2"/>
  <c r="D161" i="2" s="1"/>
  <c r="M150" i="2"/>
  <c r="C67" i="2"/>
  <c r="C150" i="2"/>
  <c r="D150" i="2" s="1"/>
  <c r="C71" i="2"/>
  <c r="C162" i="2"/>
  <c r="D162" i="2" s="1"/>
  <c r="S108" i="2"/>
  <c r="S116" i="2"/>
  <c r="S91" i="2"/>
  <c r="AO157" i="2"/>
  <c r="M161" i="2"/>
  <c r="M158" i="2"/>
  <c r="M165" i="2"/>
  <c r="M147" i="2"/>
  <c r="M151" i="2"/>
  <c r="AO146" i="2"/>
  <c r="C61" i="2"/>
  <c r="S19" i="2"/>
  <c r="O51" i="2"/>
  <c r="S57" i="2"/>
  <c r="S59" i="2"/>
  <c r="S47" i="2"/>
  <c r="O57" i="2"/>
  <c r="S48" i="2"/>
  <c r="O54" i="2"/>
  <c r="O56" i="2"/>
  <c r="AO142" i="2"/>
  <c r="S58" i="2"/>
  <c r="O60" i="2"/>
  <c r="M143" i="2"/>
  <c r="S14" i="2"/>
  <c r="AV142" i="2"/>
  <c r="S25" i="2"/>
  <c r="S51" i="2"/>
  <c r="S26" i="2"/>
  <c r="O53" i="2"/>
  <c r="S49" i="2"/>
  <c r="S37" i="2"/>
  <c r="S24" i="2"/>
  <c r="S53" i="2"/>
  <c r="O55" i="2"/>
  <c r="O59" i="2"/>
  <c r="O52" i="2"/>
  <c r="S34" i="2"/>
  <c r="S44" i="2"/>
  <c r="AV139" i="2"/>
  <c r="N55" i="1"/>
  <c r="AO55" i="1" s="1"/>
  <c r="O55" i="1"/>
  <c r="AP55" i="1" s="1"/>
  <c r="O67" i="1"/>
  <c r="AP67" i="1" s="1"/>
  <c r="N67" i="1"/>
  <c r="M67" i="1" s="1"/>
  <c r="N57" i="1"/>
  <c r="M57" i="1" s="1"/>
  <c r="N58" i="1"/>
  <c r="AO58" i="1" s="1"/>
  <c r="N59" i="1"/>
  <c r="AO59" i="1" s="1"/>
  <c r="N61" i="1"/>
  <c r="AO61" i="1" s="1"/>
  <c r="N62" i="1"/>
  <c r="M62" i="1" s="1"/>
  <c r="N63" i="1"/>
  <c r="AO63" i="1" s="1"/>
  <c r="N56" i="1"/>
  <c r="AO56" i="1" s="1"/>
  <c r="N51" i="1"/>
  <c r="AO51" i="1" s="1"/>
  <c r="N52" i="1"/>
  <c r="AO52" i="1" s="1"/>
  <c r="N53" i="1"/>
  <c r="M53" i="1" s="1"/>
  <c r="N50" i="1"/>
  <c r="AO50" i="1" s="1"/>
  <c r="O57" i="1"/>
  <c r="AP57" i="1" s="1"/>
  <c r="O58" i="1"/>
  <c r="AP58" i="1" s="1"/>
  <c r="O59" i="1"/>
  <c r="AP59" i="1" s="1"/>
  <c r="AP60" i="1"/>
  <c r="O61" i="1"/>
  <c r="AP61" i="1" s="1"/>
  <c r="O62" i="1"/>
  <c r="AP62" i="1" s="1"/>
  <c r="O63" i="1"/>
  <c r="AP63" i="1" s="1"/>
  <c r="O56" i="1"/>
  <c r="AP56" i="1" s="1"/>
  <c r="O51" i="1"/>
  <c r="O52" i="1"/>
  <c r="AP52" i="1" s="1"/>
  <c r="O53" i="1"/>
  <c r="AP53" i="1" s="1"/>
  <c r="O50" i="1"/>
  <c r="C67" i="1"/>
  <c r="D67" i="1" s="1"/>
  <c r="C66" i="1"/>
  <c r="D66" i="1" s="1"/>
  <c r="C65" i="1"/>
  <c r="AV65" i="1" s="1"/>
  <c r="C64" i="1"/>
  <c r="D64" i="1" s="1"/>
  <c r="C63" i="1"/>
  <c r="AV63" i="1" s="1"/>
  <c r="C62" i="1"/>
  <c r="D62" i="1" s="1"/>
  <c r="C61" i="1"/>
  <c r="D61" i="1" s="1"/>
  <c r="C60" i="1"/>
  <c r="AV60" i="1" s="1"/>
  <c r="C59" i="1"/>
  <c r="AV59" i="1" s="1"/>
  <c r="C58" i="1"/>
  <c r="AV58" i="1" s="1"/>
  <c r="C57" i="1"/>
  <c r="AV57" i="1" s="1"/>
  <c r="C56" i="1"/>
  <c r="D56" i="1" s="1"/>
  <c r="C55" i="1"/>
  <c r="D55" i="1" s="1"/>
  <c r="C54" i="1"/>
  <c r="D54" i="1" s="1"/>
  <c r="C53" i="1"/>
  <c r="D53" i="1" s="1"/>
  <c r="C52" i="1"/>
  <c r="D52" i="1" s="1"/>
  <c r="C51" i="1"/>
  <c r="AV51" i="1" s="1"/>
  <c r="C50" i="1"/>
  <c r="D50" i="1" s="1"/>
  <c r="C49" i="1"/>
  <c r="AV49" i="1" s="1"/>
  <c r="C48" i="1"/>
  <c r="D48" i="1" s="1"/>
  <c r="C47" i="1"/>
  <c r="D47" i="1" s="1"/>
  <c r="C45" i="1"/>
  <c r="AV45" i="1" s="1"/>
  <c r="C44" i="1"/>
  <c r="AV44" i="1" s="1"/>
  <c r="C43" i="1"/>
  <c r="D43" i="1" s="1"/>
  <c r="C42" i="1"/>
  <c r="AV42" i="1" s="1"/>
  <c r="D35" i="1"/>
  <c r="D34" i="1"/>
  <c r="S33" i="1"/>
  <c r="S32" i="1"/>
  <c r="D36" i="1"/>
  <c r="S31" i="1"/>
  <c r="C30" i="1"/>
  <c r="D30" i="1" s="1"/>
  <c r="C29" i="1"/>
  <c r="D29" i="1" s="1"/>
  <c r="C28" i="1"/>
  <c r="S28" i="1" s="1"/>
  <c r="C27" i="1"/>
  <c r="D27" i="1" s="1"/>
  <c r="C26" i="1"/>
  <c r="D26" i="1" s="1"/>
  <c r="C25" i="1"/>
  <c r="D25" i="1" s="1"/>
  <c r="C24" i="1"/>
  <c r="D24" i="1" s="1"/>
  <c r="C23" i="1"/>
  <c r="D23" i="1" s="1"/>
  <c r="C22" i="1"/>
  <c r="D22" i="1" s="1"/>
  <c r="C21" i="1"/>
  <c r="S21" i="1" s="1"/>
  <c r="C20" i="1"/>
  <c r="S20" i="1" s="1"/>
  <c r="C19" i="1"/>
  <c r="D19" i="1" s="1"/>
  <c r="C18" i="1"/>
  <c r="S18" i="1" s="1"/>
  <c r="C17" i="1"/>
  <c r="D17" i="1" s="1"/>
  <c r="C16" i="1"/>
  <c r="S16" i="1" s="1"/>
  <c r="C15" i="1"/>
  <c r="S15" i="1" s="1"/>
  <c r="C14" i="1"/>
  <c r="S14" i="1" s="1"/>
  <c r="C13" i="1"/>
  <c r="S13" i="1" s="1"/>
  <c r="C12" i="1"/>
  <c r="S12" i="1" s="1"/>
  <c r="C11" i="1"/>
  <c r="D11" i="1" s="1"/>
  <c r="C10" i="1"/>
  <c r="S10" i="1" s="1"/>
  <c r="C9" i="1"/>
  <c r="D9" i="1" s="1"/>
  <c r="C8" i="1"/>
  <c r="S8" i="1" s="1"/>
  <c r="C7" i="1"/>
  <c r="D7" i="1" s="1"/>
  <c r="C6" i="1"/>
  <c r="D6" i="1" s="1"/>
  <c r="B6" i="1"/>
  <c r="S35" i="1"/>
  <c r="B35" i="1"/>
  <c r="B30" i="1"/>
  <c r="C69" i="1"/>
  <c r="D69" i="1" s="1"/>
  <c r="B69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47" i="1"/>
  <c r="B43" i="1"/>
  <c r="B44" i="1"/>
  <c r="B45" i="1"/>
  <c r="B42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1" i="1"/>
  <c r="B32" i="1"/>
  <c r="B33" i="1"/>
  <c r="B34" i="1"/>
  <c r="B36" i="1"/>
  <c r="B7" i="1"/>
  <c r="L67" i="1"/>
  <c r="L63" i="1"/>
  <c r="L62" i="1"/>
  <c r="L61" i="1"/>
  <c r="L57" i="1"/>
  <c r="L58" i="1"/>
  <c r="L59" i="1"/>
  <c r="L56" i="1"/>
  <c r="L51" i="1"/>
  <c r="L52" i="1"/>
  <c r="L53" i="1"/>
  <c r="L50" i="1"/>
  <c r="AO48" i="1"/>
  <c r="AP48" i="1"/>
  <c r="AO49" i="1"/>
  <c r="AP49" i="1"/>
  <c r="AO54" i="1"/>
  <c r="AP54" i="1"/>
  <c r="AO60" i="1"/>
  <c r="AO64" i="1"/>
  <c r="AP64" i="1"/>
  <c r="AO65" i="1"/>
  <c r="AP65" i="1"/>
  <c r="AO66" i="1"/>
  <c r="AP66" i="1"/>
  <c r="AP47" i="1"/>
  <c r="AO47" i="1"/>
  <c r="M48" i="1"/>
  <c r="M49" i="1"/>
  <c r="M54" i="1"/>
  <c r="M60" i="1"/>
  <c r="M64" i="1"/>
  <c r="M65" i="1"/>
  <c r="M66" i="1"/>
  <c r="M47" i="1"/>
  <c r="M43" i="1"/>
  <c r="M44" i="1"/>
  <c r="M45" i="1"/>
  <c r="M42" i="1"/>
  <c r="AO43" i="1"/>
  <c r="AP43" i="1"/>
  <c r="AO44" i="1"/>
  <c r="AP44" i="1"/>
  <c r="AO45" i="1"/>
  <c r="AP45" i="1"/>
  <c r="AP42" i="1"/>
  <c r="AO42" i="1"/>
  <c r="S25" i="1"/>
  <c r="S36" i="1"/>
  <c r="D31" i="1"/>
  <c r="D4" i="1"/>
  <c r="M61" i="1" l="1"/>
  <c r="M55" i="1"/>
  <c r="D57" i="1"/>
  <c r="D12" i="1"/>
  <c r="D18" i="1"/>
  <c r="M59" i="1"/>
  <c r="D10" i="1"/>
  <c r="AP50" i="1"/>
  <c r="Q50" i="1"/>
  <c r="S7" i="1"/>
  <c r="AP51" i="1"/>
  <c r="Q51" i="1"/>
  <c r="AV152" i="2"/>
  <c r="AV147" i="2"/>
  <c r="S61" i="2"/>
  <c r="D61" i="2"/>
  <c r="S70" i="2"/>
  <c r="D70" i="2"/>
  <c r="S66" i="2"/>
  <c r="D66" i="2"/>
  <c r="AV153" i="2"/>
  <c r="AV131" i="2"/>
  <c r="S67" i="2"/>
  <c r="D67" i="2"/>
  <c r="AV164" i="2"/>
  <c r="AV146" i="2"/>
  <c r="AV165" i="2"/>
  <c r="AV163" i="2"/>
  <c r="AV162" i="2"/>
  <c r="AV137" i="2"/>
  <c r="S63" i="2"/>
  <c r="D63" i="2"/>
  <c r="S65" i="2"/>
  <c r="D65" i="2"/>
  <c r="AV154" i="2"/>
  <c r="S71" i="2"/>
  <c r="D71" i="2"/>
  <c r="AV134" i="2"/>
  <c r="S62" i="2"/>
  <c r="D62" i="2"/>
  <c r="AV149" i="2"/>
  <c r="AV160" i="2"/>
  <c r="AV166" i="2"/>
  <c r="AV151" i="2"/>
  <c r="S76" i="2"/>
  <c r="D76" i="2"/>
  <c r="AV167" i="2"/>
  <c r="S64" i="2"/>
  <c r="D64" i="2"/>
  <c r="AV61" i="1"/>
  <c r="M58" i="1"/>
  <c r="AV53" i="1"/>
  <c r="S27" i="1"/>
  <c r="M56" i="1"/>
  <c r="S11" i="1"/>
  <c r="S17" i="1"/>
  <c r="AV52" i="1"/>
  <c r="D20" i="1"/>
  <c r="D14" i="1"/>
  <c r="AO53" i="1"/>
  <c r="D13" i="1"/>
  <c r="AV48" i="1"/>
  <c r="D28" i="1"/>
  <c r="D49" i="1"/>
  <c r="AO62" i="1"/>
  <c r="D8" i="1"/>
  <c r="D42" i="1"/>
  <c r="AO57" i="1"/>
  <c r="M52" i="1"/>
  <c r="AV50" i="1"/>
  <c r="AO67" i="1"/>
  <c r="D63" i="1"/>
  <c r="D16" i="1"/>
  <c r="AV47" i="1"/>
  <c r="AV62" i="1"/>
  <c r="S73" i="2"/>
  <c r="AV136" i="2"/>
  <c r="O197" i="2"/>
  <c r="AV145" i="2"/>
  <c r="S72" i="2"/>
  <c r="AV130" i="2"/>
  <c r="AV158" i="2"/>
  <c r="AV161" i="2"/>
  <c r="AV144" i="2"/>
  <c r="AV159" i="2"/>
  <c r="AV156" i="2"/>
  <c r="AV148" i="2"/>
  <c r="S75" i="2"/>
  <c r="S77" i="2"/>
  <c r="O196" i="2"/>
  <c r="S78" i="2"/>
  <c r="AV155" i="2"/>
  <c r="AV135" i="2"/>
  <c r="S74" i="2"/>
  <c r="AV150" i="2"/>
  <c r="AV132" i="2"/>
  <c r="AV157" i="2"/>
  <c r="AV133" i="2"/>
  <c r="M63" i="1"/>
  <c r="M51" i="1"/>
  <c r="M50" i="1"/>
  <c r="AV67" i="1"/>
  <c r="AV66" i="1"/>
  <c r="D65" i="1"/>
  <c r="AV64" i="1"/>
  <c r="D60" i="1"/>
  <c r="D59" i="1"/>
  <c r="D58" i="1"/>
  <c r="AV56" i="1"/>
  <c r="AV54" i="1"/>
  <c r="AV55" i="1"/>
  <c r="D51" i="1"/>
  <c r="D45" i="1"/>
  <c r="D44" i="1"/>
  <c r="AV43" i="1"/>
  <c r="S34" i="1"/>
  <c r="D33" i="1"/>
  <c r="D32" i="1"/>
  <c r="S30" i="1"/>
  <c r="S29" i="1"/>
  <c r="S26" i="1"/>
  <c r="S24" i="1"/>
  <c r="S23" i="1"/>
  <c r="S22" i="1"/>
  <c r="D21" i="1"/>
  <c r="S19" i="1"/>
  <c r="D15" i="1"/>
  <c r="S9" i="1"/>
  <c r="S6" i="1"/>
</calcChain>
</file>

<file path=xl/sharedStrings.xml><?xml version="1.0" encoding="utf-8"?>
<sst xmlns="http://schemas.openxmlformats.org/spreadsheetml/2006/main" count="13049" uniqueCount="811">
  <si>
    <t>Yes</t>
  </si>
  <si>
    <t>No</t>
  </si>
  <si>
    <t>BXX</t>
  </si>
  <si>
    <t>:AlarmGroup</t>
  </si>
  <si>
    <t>Group</t>
  </si>
  <si>
    <t>Comment</t>
  </si>
  <si>
    <t>EventLogged</t>
  </si>
  <si>
    <t>EventLoggingPriority</t>
  </si>
  <si>
    <t>LoLoAlarmDisable</t>
  </si>
  <si>
    <t>LoAlarmDisable</t>
  </si>
  <si>
    <t>HiAlarmDisable</t>
  </si>
  <si>
    <t>HiHiAlarmDisable</t>
  </si>
  <si>
    <t>MinDevAlarmDisable</t>
  </si>
  <si>
    <t>MajDevAlarmDisable</t>
  </si>
  <si>
    <t>RocAlarmDisable</t>
  </si>
  <si>
    <t>DSCAlarmDisable</t>
  </si>
  <si>
    <t>LoLoAlarmInhibitor</t>
  </si>
  <si>
    <t>LoAlarmInhibitor</t>
  </si>
  <si>
    <t>HiAlarmInhibitor</t>
  </si>
  <si>
    <t>HiHiAlarmInhibitor</t>
  </si>
  <si>
    <t>MinDevAlarmInhibitor</t>
  </si>
  <si>
    <t>MajDevAlarmInhibitor</t>
  </si>
  <si>
    <t>RocAlarmInhibitor</t>
  </si>
  <si>
    <t>DSCAlarmInhibitor</t>
  </si>
  <si>
    <t>Remote</t>
  </si>
  <si>
    <t>BXX_DSAB</t>
  </si>
  <si>
    <t>BXXDEV1FI1</t>
  </si>
  <si>
    <t>Sample Flow</t>
  </si>
  <si>
    <t>Sample Motor</t>
  </si>
  <si>
    <t>:MemoryDisc</t>
  </si>
  <si>
    <t>Logged</t>
  </si>
  <si>
    <t>RetentiveValue</t>
  </si>
  <si>
    <t>InitialDisc</t>
  </si>
  <si>
    <t>OffMsg</t>
  </si>
  <si>
    <t>OnMsg</t>
  </si>
  <si>
    <t>AlarmState</t>
  </si>
  <si>
    <t>AlarmPri</t>
  </si>
  <si>
    <t>AlarmComment</t>
  </si>
  <si>
    <t>AlarmAckModel</t>
  </si>
  <si>
    <t>SymbolicName</t>
  </si>
  <si>
    <t>Off</t>
  </si>
  <si>
    <t>None</t>
  </si>
  <si>
    <t>On</t>
  </si>
  <si>
    <t>:IODisc</t>
  </si>
  <si>
    <t>DConversion</t>
  </si>
  <si>
    <t>AccessName</t>
  </si>
  <si>
    <t>ItemUseTagname</t>
  </si>
  <si>
    <t>ItemName</t>
  </si>
  <si>
    <t>ReadOnly</t>
  </si>
  <si>
    <t>Direct</t>
  </si>
  <si>
    <t>Normal</t>
  </si>
  <si>
    <t>Alarm</t>
  </si>
  <si>
    <t>Enabled</t>
  </si>
  <si>
    <t>Disabled</t>
  </si>
  <si>
    <t>Ok</t>
  </si>
  <si>
    <t>Local</t>
  </si>
  <si>
    <t>Ack</t>
  </si>
  <si>
    <t>Running</t>
  </si>
  <si>
    <t>Reset</t>
  </si>
  <si>
    <t>Start</t>
  </si>
  <si>
    <t>Stop</t>
  </si>
  <si>
    <t>PLT-MAN</t>
  </si>
  <si>
    <t>AUTO</t>
  </si>
  <si>
    <t>Bypass</t>
  </si>
  <si>
    <t>Not Ready</t>
  </si>
  <si>
    <t>:MemoryInt</t>
  </si>
  <si>
    <t>RetentiveAlarmParameters</t>
  </si>
  <si>
    <t>AlarmValueDeadband</t>
  </si>
  <si>
    <t>AlarmDevDeadband</t>
  </si>
  <si>
    <t>EngUnits</t>
  </si>
  <si>
    <t>InitialValue</t>
  </si>
  <si>
    <t>MinValue</t>
  </si>
  <si>
    <t>MaxValue</t>
  </si>
  <si>
    <t>Deadband</t>
  </si>
  <si>
    <t>LogDeadband</t>
  </si>
  <si>
    <t>LoLoAlarmState</t>
  </si>
  <si>
    <t>LoLoAlarmValue</t>
  </si>
  <si>
    <t>LoLoAlarmPri</t>
  </si>
  <si>
    <t>LoAlarmState</t>
  </si>
  <si>
    <t>LoAlarmValue</t>
  </si>
  <si>
    <t>LoAlarmPri</t>
  </si>
  <si>
    <t>HiAlarmState</t>
  </si>
  <si>
    <t>HiAlarmValue</t>
  </si>
  <si>
    <t>HiAlarmPri</t>
  </si>
  <si>
    <t>HiHiAlarmState</t>
  </si>
  <si>
    <t>HiHiAlarmValue</t>
  </si>
  <si>
    <t>HiHiAlarmPri</t>
  </si>
  <si>
    <t>MinorDevAlarmState</t>
  </si>
  <si>
    <t>MinorDevAlarmValue</t>
  </si>
  <si>
    <t>MinorDevAlarmPri</t>
  </si>
  <si>
    <t>MajorDevAlarmState</t>
  </si>
  <si>
    <t>MajorDevAlarmValue</t>
  </si>
  <si>
    <t>MajorDevAlarmPri</t>
  </si>
  <si>
    <t>DevTarget</t>
  </si>
  <si>
    <t>ROCAlarmState</t>
  </si>
  <si>
    <t>ROCAlarmValue</t>
  </si>
  <si>
    <t>ROCAlarmPri</t>
  </si>
  <si>
    <t>ROCTimeBase</t>
  </si>
  <si>
    <t>Min</t>
  </si>
  <si>
    <t>%</t>
  </si>
  <si>
    <t>:IOInt</t>
  </si>
  <si>
    <t>MinEU</t>
  </si>
  <si>
    <t>MaxEU</t>
  </si>
  <si>
    <t>MinRaw</t>
  </si>
  <si>
    <t>MaxRaw</t>
  </si>
  <si>
    <t>Conversion</t>
  </si>
  <si>
    <t>Linear</t>
  </si>
  <si>
    <t>:IOReal</t>
  </si>
  <si>
    <t>mA</t>
  </si>
  <si>
    <t>s</t>
  </si>
  <si>
    <t>L/s</t>
  </si>
  <si>
    <t>h</t>
  </si>
  <si>
    <t>:MemoryMsg</t>
  </si>
  <si>
    <t>MaxLength</t>
  </si>
  <si>
    <t>InitialMessage</t>
  </si>
  <si>
    <t>:IOMsg</t>
  </si>
  <si>
    <t>Disabled_Alarms</t>
  </si>
  <si>
    <t>BXX Disabled Alarms Group</t>
  </si>
  <si>
    <t>L</t>
  </si>
  <si>
    <t>Description Lengths</t>
  </si>
  <si>
    <t>Colour Guide</t>
  </si>
  <si>
    <t>Optional Tags.  Only include if Functionality is Needed</t>
  </si>
  <si>
    <t>This Column is provided as a development aid and should be deleted before attempting an intouch Import</t>
  </si>
  <si>
    <t>Please Type The Reason Here</t>
  </si>
  <si>
    <t>BXXCPU01_1</t>
  </si>
  <si>
    <t>These values must be manually configured by the Programmer</t>
  </si>
  <si>
    <t>These Values Should not Changed unless Directed by Halton Region</t>
  </si>
  <si>
    <t>Stopped</t>
  </si>
  <si>
    <t>Backup</t>
  </si>
  <si>
    <t>Starts</t>
  </si>
  <si>
    <t>:mode=ask</t>
  </si>
  <si>
    <t>Sample Valve</t>
  </si>
  <si>
    <t>BXXGEN1DE1</t>
  </si>
  <si>
    <t>Sample Generator</t>
  </si>
  <si>
    <t>Sample ATS</t>
  </si>
  <si>
    <t>Location Power Monitor</t>
  </si>
  <si>
    <t>GVARH</t>
  </si>
  <si>
    <t>V</t>
  </si>
  <si>
    <t>GWh</t>
  </si>
  <si>
    <t>A</t>
  </si>
  <si>
    <t>Hz</t>
  </si>
  <si>
    <t>kW</t>
  </si>
  <si>
    <t>kVAR</t>
  </si>
  <si>
    <t>:IndirectAnalog</t>
  </si>
  <si>
    <t>$System</t>
  </si>
  <si>
    <t>Power Monitor Indirect kVAR Hours</t>
  </si>
  <si>
    <t>Power Monitor Indirect kW Hours</t>
  </si>
  <si>
    <t>Power Monitor Indirect Voltage Demand</t>
  </si>
  <si>
    <t>Power Monitor Indirect Total RealPower</t>
  </si>
  <si>
    <t>Power Monitor Indirect RealPower Line 3</t>
  </si>
  <si>
    <t>Power Monitor Indirect 3-Phase Avg L-N Voltage</t>
  </si>
  <si>
    <t>Power Monitor Indirect Line 1 Current</t>
  </si>
  <si>
    <t>Power Monitor Indirect Current (Amps) Demand</t>
  </si>
  <si>
    <t>Power Monitor Indirect RealPower Line 2</t>
  </si>
  <si>
    <t>Power Monitor Indirect RealPower Line 1</t>
  </si>
  <si>
    <t>Power Monitor Indirect Frequency Last Cycle</t>
  </si>
  <si>
    <t>Power Monitor Indirect L-L Average Voltage</t>
  </si>
  <si>
    <t>Power Monitor Indirect Line 3 to Neutral Voltage</t>
  </si>
  <si>
    <t>Power Monitor Indirect Line 1 to Neutral Voltage</t>
  </si>
  <si>
    <t>Power Monitor Indirect 3-Phase L-L Avg Current</t>
  </si>
  <si>
    <t>Power Monitor Indirect Line 2 Current</t>
  </si>
  <si>
    <t>Power Monitor Indirect Line 2 to Neutral Voltage</t>
  </si>
  <si>
    <t>Power Monitor Indirect Line 3 to Line 1 Voltage</t>
  </si>
  <si>
    <t>Power Monitor Indirect Line 2 to Line 3 Voltage</t>
  </si>
  <si>
    <t>Power Monitor Indirect Line 1 to Line 2 Voltage</t>
  </si>
  <si>
    <t>Power Monitor Indirect Neutral Current</t>
  </si>
  <si>
    <t>Power Monitor Indirect Line 3 Current</t>
  </si>
  <si>
    <t>Power Monitor Indirect IP Address Byte a</t>
  </si>
  <si>
    <t>Power Monitor Indirect IP Address Byte b</t>
  </si>
  <si>
    <t>Power Monitor Indirect IP Address Byte c</t>
  </si>
  <si>
    <t>Power Monitor Indirect IP Address Byte d</t>
  </si>
  <si>
    <t>Power Monitor Indirect Gateway IP</t>
  </si>
  <si>
    <t>Power Monitor Indirect Subnet Mask  Byte a</t>
  </si>
  <si>
    <t>Power Monitor Indirect Subnet Mask  Byte b</t>
  </si>
  <si>
    <t>Power Monitor Indirect Subnet Mask  Byte c</t>
  </si>
  <si>
    <t>Power Monitor Indirect Subnet Mask  Byte d</t>
  </si>
  <si>
    <t>:IndirectDisc</t>
  </si>
  <si>
    <t>Analog Input Enable Request Alarm - Indirect</t>
  </si>
  <si>
    <t>Analog Input Enable HIHI Alarm - Indirect</t>
  </si>
  <si>
    <t>Analog Input Enable HI Alarm - Indirect</t>
  </si>
  <si>
    <t>Analog Input Enable LO Alarm - Indirect</t>
  </si>
  <si>
    <t>Analog Input Enable LOLO Alarm - Indirect</t>
  </si>
  <si>
    <t>Analog Input Enable Signal Error Alarm - Indirect</t>
  </si>
  <si>
    <t>Analog Input Scan Enable - Indirect</t>
  </si>
  <si>
    <t>Analog Input Alarms Disabled - Indirect</t>
  </si>
  <si>
    <t>Analog Input Signal Error Alarm - Indirect</t>
  </si>
  <si>
    <t>Analog Input On Scan - Indirect</t>
  </si>
  <si>
    <t>Analog Input Simulation Enable - Indirect</t>
  </si>
  <si>
    <t>ANIN_DEC</t>
  </si>
  <si>
    <t>Analog Input Signal Deimal Points - Indirect</t>
  </si>
  <si>
    <t>Analog Input Maximum Engineering Units - Indirect</t>
  </si>
  <si>
    <t>Analog Override Value From HMI - Indirect</t>
  </si>
  <si>
    <t>Analog Input Current Value - Indirect</t>
  </si>
  <si>
    <t>Analog Input HIHI - Indirect</t>
  </si>
  <si>
    <t>Analog Input HI - Indirect</t>
  </si>
  <si>
    <t>Analog Input LOLO - Indirect</t>
  </si>
  <si>
    <t>Analog Input LO - Indirect</t>
  </si>
  <si>
    <t>Indirect HIHI Alarm Delay Time Setpoint</t>
  </si>
  <si>
    <t>Indirect LO Alarm Delay Time Setpoint</t>
  </si>
  <si>
    <t>Indirect HI Alarm Delay Time Setpoint</t>
  </si>
  <si>
    <t>Indirect LOLO Alarm Delay Time Setpoint</t>
  </si>
  <si>
    <t>:IndirectMsg</t>
  </si>
  <si>
    <t>ANIN_SRV</t>
  </si>
  <si>
    <t>Analog Input Alarm Server Indirect Tag</t>
  </si>
  <si>
    <t>:GroupVar</t>
  </si>
  <si>
    <t>ANIN_GRP</t>
  </si>
  <si>
    <t>Analog Input Group - Indirect</t>
  </si>
  <si>
    <t>ALRM_AGRP</t>
  </si>
  <si>
    <t>Indirect Alarm Query</t>
  </si>
  <si>
    <t>Analog Input Eng Units Range 1 Minimum Value</t>
  </si>
  <si>
    <t>Analog Input Eng Units Range 1 Maximum Value</t>
  </si>
  <si>
    <t>Analog Value Second Units Indirect Tag</t>
  </si>
  <si>
    <t>Analog Value Third Units Indirect Tag</t>
  </si>
  <si>
    <t>Analog Units Visibility Selection - Indirect</t>
  </si>
  <si>
    <t>ANIN_DC2</t>
  </si>
  <si>
    <t>Analog Input Units 2 Decimal Points - Indirect</t>
  </si>
  <si>
    <t>ANIN_DC3</t>
  </si>
  <si>
    <t>Analog Input Units 3 Decimal Points - Indirect</t>
  </si>
  <si>
    <t>Pump Simulate Alarms Pushbutton Indirect Tag</t>
  </si>
  <si>
    <t>Analog Input Simulate Alarms Pushbutton Ind Tag</t>
  </si>
  <si>
    <t>Indirect Analog Alarm Reset PB</t>
  </si>
  <si>
    <t>Analog Input Tag Name - Indirect</t>
  </si>
  <si>
    <t>Value is Partially or Fully Derived from another entry in worksheet</t>
  </si>
  <si>
    <t>Sting length is too long.   Either the Device Description must be shortened or the string concatenation edited within the cell to meet the character limit</t>
  </si>
  <si>
    <t>Pump Feedback On Scan Indirect Tag</t>
  </si>
  <si>
    <t>Pump Plant Auto Mode Status - Indirect</t>
  </si>
  <si>
    <t>Pump Plant Auto Stroke Status - Indirect</t>
  </si>
  <si>
    <t>Pump Control Mode - Indirect</t>
  </si>
  <si>
    <t>Pump Plant Manual Stroke Status - Indirect</t>
  </si>
  <si>
    <t>Pump Plant Manual Mode Status - Indirect</t>
  </si>
  <si>
    <t>Pump Stroke Control Mode - Indirect</t>
  </si>
  <si>
    <t>Pump Running Status - Indirect</t>
  </si>
  <si>
    <t>Pump Alarm Ack. Req. - Indirect</t>
  </si>
  <si>
    <t>Pump Plant Manual Stroke Req. - Indirect</t>
  </si>
  <si>
    <t>Pump Plant Manual Mode Req. - Indirect</t>
  </si>
  <si>
    <t>Pump Plant Manual Stop Req. - Indirect</t>
  </si>
  <si>
    <t>Pump Plant Manual Start Req. - Indirect</t>
  </si>
  <si>
    <t>Pump Runtime Reset - Indirect</t>
  </si>
  <si>
    <t>Pump Alarm Enable Pushbutton Indirect Tag</t>
  </si>
  <si>
    <t>Pump Speed Signal Error Enable Indirect Tag</t>
  </si>
  <si>
    <t>Pump Speed Feedback Scan Enable Indirect Tag</t>
  </si>
  <si>
    <t>Pump Fail To Start Enable Ind. Tag</t>
  </si>
  <si>
    <t>Pump Fail To Stop Enable Ind. Tag</t>
  </si>
  <si>
    <t>Pump Simulate Feedback Indirect Tag</t>
  </si>
  <si>
    <t>Pump Uncommanded Start Enable Ind. Tag</t>
  </si>
  <si>
    <t>Pump Uncommanded Stop Enable Ind. Tag</t>
  </si>
  <si>
    <t>Pump Deviation Alarm Enable Indirect Tag</t>
  </si>
  <si>
    <t>Stroke Feedback Signal Error Indirect Tag</t>
  </si>
  <si>
    <t>Stroke Feedback on Scan Indirect Tag</t>
  </si>
  <si>
    <t>Stroke Feedback Signal Error Enable Indirect Tag</t>
  </si>
  <si>
    <t>Stroke Feedback Scan Enable Indirect Tag</t>
  </si>
  <si>
    <t>Stroke Feedback Simulate Value Indirect Tag</t>
  </si>
  <si>
    <t>Stroke Feedback Deviation Alarm Enable Ind. Tag</t>
  </si>
  <si>
    <t>PMP_DC2</t>
  </si>
  <si>
    <t>Pump Signal Engineering Units 2 - Indirect</t>
  </si>
  <si>
    <t>PMP_DC3</t>
  </si>
  <si>
    <t>Pump Signal Engineering Units 3 - Indirect</t>
  </si>
  <si>
    <t>PMP_DEC</t>
  </si>
  <si>
    <t>Pump Signal Decimal Points - Indirect</t>
  </si>
  <si>
    <t>Pump Signal Feedback Indirect Tag</t>
  </si>
  <si>
    <t>Pump Signal Feedback Visible Values Ind. Tag</t>
  </si>
  <si>
    <t>Pump Feedback Override Value Indirect Tag</t>
  </si>
  <si>
    <t>Deviation Alarm Setpoint Indirect Tag</t>
  </si>
  <si>
    <t>Pump Runtime - Indirect</t>
  </si>
  <si>
    <t>Pump Feedback Zero Indirect Tag</t>
  </si>
  <si>
    <t>Pump Feedback Span Indirect Tag</t>
  </si>
  <si>
    <t>Pump Feedback Secondary Eng Value Ind. Tag</t>
  </si>
  <si>
    <t>Pump Feedback Tertiary Eng Value Indirect Tag</t>
  </si>
  <si>
    <t>VFD Pump Manual Speed Setpoint - Indirect Analog</t>
  </si>
  <si>
    <t>Pump Stroke Signal Engineering Units 2 - Indirect</t>
  </si>
  <si>
    <t>Pump Stroke Signal Engineering Units 3 - Indirect</t>
  </si>
  <si>
    <t>Stroke Feedback Indirect Tag</t>
  </si>
  <si>
    <t>Stroke Feedback Number of Visible Units Ind. Tag</t>
  </si>
  <si>
    <t>VFD Pump Stroke Setpoint - Indirect Analog</t>
  </si>
  <si>
    <t>Stroke Feedback Simulation Value Indirect Tag</t>
  </si>
  <si>
    <t>Stroke Deviation Setpoint Indirect Tag</t>
  </si>
  <si>
    <t>Stroke Feedback Zero Scale Indirect Tag</t>
  </si>
  <si>
    <t>Stroke Feedback Spane Indirect Tag</t>
  </si>
  <si>
    <t>Stroke Feedback Secondary Units Indirect Tag</t>
  </si>
  <si>
    <t>Stroke Feedback Tertiary Units Indirect Tag</t>
  </si>
  <si>
    <t>Stroke Deviation Alarm Delay Indirect Tag</t>
  </si>
  <si>
    <t>Deviation Alarm Delay Time Indirect Tag</t>
  </si>
  <si>
    <t>PMP_SRV</t>
  </si>
  <si>
    <t>Pump Alarm Group Server Indirect Tag</t>
  </si>
  <si>
    <t>Pump Group - Indirect</t>
  </si>
  <si>
    <t>Pump Name - Indirect</t>
  </si>
  <si>
    <t>ALRM_PGRP</t>
  </si>
  <si>
    <t>Pump Alarm Query</t>
  </si>
  <si>
    <t>Pump Feedback Tagname</t>
  </si>
  <si>
    <t>Stroke Feedback Tagname</t>
  </si>
  <si>
    <t>PMP_VIS1</t>
  </si>
  <si>
    <t>Pump Internal Visibility Link - Indirect</t>
  </si>
  <si>
    <t>PMP_VIS2</t>
  </si>
  <si>
    <t>PMP_VIS3</t>
  </si>
  <si>
    <t>PMP_VIS4</t>
  </si>
  <si>
    <t>Duty Select Info Button Visibility</t>
  </si>
  <si>
    <t>VLV_SRV</t>
  </si>
  <si>
    <t>Valve Alarm Server Indirect Tag</t>
  </si>
  <si>
    <t>VLV_DC2</t>
  </si>
  <si>
    <t>Valve Feedback Secondary Units Presision Ind. Tag</t>
  </si>
  <si>
    <t>VLV_DC3</t>
  </si>
  <si>
    <t>Valve Feedback Tertiary Units Presision Ind. Tag</t>
  </si>
  <si>
    <t>VLV_DEC</t>
  </si>
  <si>
    <t>Valve Feedback Presision Ind. Tag</t>
  </si>
  <si>
    <t>Valve Position Feedback Indirect Tag</t>
  </si>
  <si>
    <t>Valve Feedback Number of Visible Units Ind. Tag</t>
  </si>
  <si>
    <t>Valve Feedback Simulation Value Indirect Tag</t>
  </si>
  <si>
    <t>Valve Deviation Alarm Setpoint Indirect Tag</t>
  </si>
  <si>
    <t>Valve Feedback Engineering Zero Indirect Tag</t>
  </si>
  <si>
    <t>Valve Feedback Span Indirect Tag</t>
  </si>
  <si>
    <t>Valve Feedback Secondary Units Indirect Tag</t>
  </si>
  <si>
    <t>Valve Feedback Tertiary Units Indirect Tag</t>
  </si>
  <si>
    <t>Modulating Valve Manual Setpoint Entry - Indirect</t>
  </si>
  <si>
    <t>Valve Feedback Deviation Alarm Delay Time Ind. Tag</t>
  </si>
  <si>
    <t>Valve Plant Auto Mode Status - Indirect</t>
  </si>
  <si>
    <t>Valve Closed Status - Indirect</t>
  </si>
  <si>
    <t>Valve Control Mode - Indirect</t>
  </si>
  <si>
    <t>Valve Opened Status - Indirect</t>
  </si>
  <si>
    <t>Valve Plant Manual Mode Status - Indirect</t>
  </si>
  <si>
    <t>Valve Alarm Acknowledge Request - Indirect</t>
  </si>
  <si>
    <t>Valve Plant Manual Close Request - Indirect</t>
  </si>
  <si>
    <t>Valve Plant Manual Mode Request - Indirect</t>
  </si>
  <si>
    <t>Valve Plant Open Request - Indirect</t>
  </si>
  <si>
    <t>Valve Alarm Enable PB Indirect Tag</t>
  </si>
  <si>
    <t>Valve Feedback Signal Error Alarm Enable Ind. Tag</t>
  </si>
  <si>
    <t>Valve Feedback On Scan PB Indirect Tag</t>
  </si>
  <si>
    <t>Valve Fail to Open Alarm Enable PB Indirect Tag</t>
  </si>
  <si>
    <t>Valve Simulate Alarms PB Indirect Tag</t>
  </si>
  <si>
    <t>Valve Uncommanded Open Alarm En PB Indirect Tag</t>
  </si>
  <si>
    <t>Simulate Valve Feedback PB Indirect Tag</t>
  </si>
  <si>
    <t>Valve Fail to Close Alarm En PB Indirect Tag</t>
  </si>
  <si>
    <t>Valve Uncommanded Close Alarm En PB Indirect Tag</t>
  </si>
  <si>
    <t>Valve Feedback Deviation Alarm En PB Indirect Tag</t>
  </si>
  <si>
    <t>Valve Feedback on Scan Indirect Tag</t>
  </si>
  <si>
    <t>VLV_VIS1</t>
  </si>
  <si>
    <t>Visibility Control for Analog Valve Feedback</t>
  </si>
  <si>
    <t>VLV_VIS2</t>
  </si>
  <si>
    <t>Visibility Control for Analog Valve Control</t>
  </si>
  <si>
    <t>VLV_VIS3</t>
  </si>
  <si>
    <t>Visibility Control for Discrete Valve Features</t>
  </si>
  <si>
    <t>Valve Group - Indirect</t>
  </si>
  <si>
    <t>Valve Name - Indirect</t>
  </si>
  <si>
    <t>Valve Feedback Tag Name</t>
  </si>
  <si>
    <t>Generator in Auto Indirect Tag</t>
  </si>
  <si>
    <t>Generator Control Mode Indirect Tag</t>
  </si>
  <si>
    <t>Generator Running Indirect Tag</t>
  </si>
  <si>
    <t>Generator Alarms Enable PB Indirect Tag</t>
  </si>
  <si>
    <t>Generator Alarm Reset Indirect Tag</t>
  </si>
  <si>
    <t>Generator Not In Auto Enable PB Indirect Tag</t>
  </si>
  <si>
    <t>Generator Runtime Reset Indirect Tag</t>
  </si>
  <si>
    <t>Generator Fail to Start Enable PB Indirect Tag</t>
  </si>
  <si>
    <t>Generator Simulate Alarms PB Indirect Tag</t>
  </si>
  <si>
    <t>Generator Fail to Stop Enable Indirect Tag</t>
  </si>
  <si>
    <t>Generator Runtime Indirect Tag</t>
  </si>
  <si>
    <t>GENSET Group - Indirect</t>
  </si>
  <si>
    <t>GEN_SRV</t>
  </si>
  <si>
    <t>Generator Alarm Server Indirect Tag</t>
  </si>
  <si>
    <t>Generator Name</t>
  </si>
  <si>
    <t>ATS_VIS1</t>
  </si>
  <si>
    <t>ATS Visible on Generator Pop-up Control</t>
  </si>
  <si>
    <t>ATS_VIS2</t>
  </si>
  <si>
    <t>Controls Visiblity of Test Buttons</t>
  </si>
  <si>
    <t>ATS On Emergency Power Indirect Tag</t>
  </si>
  <si>
    <t>ATS Control Mode Indirect Tag</t>
  </si>
  <si>
    <t>ATS on Normal Power Indirect Tag</t>
  </si>
  <si>
    <t>ATS Alarm Enable Indirect Tag</t>
  </si>
  <si>
    <t>ATS Fail to Transfer Enable PB Indirect Tag</t>
  </si>
  <si>
    <t>ATS Plant Manual Stop Req. - Indirect</t>
  </si>
  <si>
    <t>ATS Plant Manual Start Req. - Indirect</t>
  </si>
  <si>
    <t>ATS Runtime Reset Indirect Tag</t>
  </si>
  <si>
    <t>ATS Simulate Alarms PB Indirect Tag</t>
  </si>
  <si>
    <t>ATS Runtime Indirect Tag</t>
  </si>
  <si>
    <t>ATS Name</t>
  </si>
  <si>
    <t>PRM_NAME</t>
  </si>
  <si>
    <t>Power Monitor Name</t>
  </si>
  <si>
    <t>PRM_VIS1</t>
  </si>
  <si>
    <t>Power Monitor Visibility Link - Ethernet vis.</t>
  </si>
  <si>
    <t>Rain Gauge</t>
  </si>
  <si>
    <t>mm</t>
  </si>
  <si>
    <t>mm/tip</t>
  </si>
  <si>
    <t>Enable Rainfall Totalization - Indirect</t>
  </si>
  <si>
    <t>Current 5 Minute Total Rainfall - Indirect</t>
  </si>
  <si>
    <t>Current Hour Total Rainfall - Indirect</t>
  </si>
  <si>
    <t>Last 5 Minutes Total Rainfall - Indirect</t>
  </si>
  <si>
    <t>Current Month Total Rainfall - Indirect</t>
  </si>
  <si>
    <t>Current Day Total Rainfall - Indirect</t>
  </si>
  <si>
    <t>Current Year Total Rainfall - Indirect</t>
  </si>
  <si>
    <t>Current Week Total Rainfall - Indirect</t>
  </si>
  <si>
    <t>Last Hour Total Rainfall - Indirect</t>
  </si>
  <si>
    <t>Last Year Total Rainfall - Indirect</t>
  </si>
  <si>
    <t>Last Month Total Rainfall - Indirect</t>
  </si>
  <si>
    <t>Yesterday Total Rainfall - Indirect</t>
  </si>
  <si>
    <t>Last Week Total Rainfall - Indirect</t>
  </si>
  <si>
    <t>Rain Gauge Calibration Factor - Indirect</t>
  </si>
  <si>
    <t>BXX PLC</t>
  </si>
  <si>
    <t>Program</t>
  </si>
  <si>
    <t>Run</t>
  </si>
  <si>
    <t>Down</t>
  </si>
  <si>
    <t>$SYS$Status</t>
  </si>
  <si>
    <t>Month</t>
  </si>
  <si>
    <t>Day</t>
  </si>
  <si>
    <t>Hr</t>
  </si>
  <si>
    <t>Year</t>
  </si>
  <si>
    <t>:IOAccess</t>
  </si>
  <si>
    <t>Application</t>
  </si>
  <si>
    <t>Topic</t>
  </si>
  <si>
    <t>AdviseActive</t>
  </si>
  <si>
    <t>DDEProtocol</t>
  </si>
  <si>
    <t>SecApplication</t>
  </si>
  <si>
    <t>SecTopic</t>
  </si>
  <si>
    <t>SecAdviseActive</t>
  </si>
  <si>
    <t>SecDDEProtocol</t>
  </si>
  <si>
    <t>FailoverExpression</t>
  </si>
  <si>
    <t>FailoverDeadband</t>
  </si>
  <si>
    <t>DFOFlag</t>
  </si>
  <si>
    <t>FBDFlag</t>
  </si>
  <si>
    <t>FailbackDeadband</t>
  </si>
  <si>
    <t>\\BXXCPU02\ABCIP</t>
  </si>
  <si>
    <t>\\BXXCPU01\ABCIP</t>
  </si>
  <si>
    <t>Plant</t>
  </si>
  <si>
    <t>BXX Controller Status</t>
  </si>
  <si>
    <t>Test</t>
  </si>
  <si>
    <t>Fault</t>
  </si>
  <si>
    <t>Present</t>
  </si>
  <si>
    <t>Position 1 Device 1 Selection Visibility</t>
  </si>
  <si>
    <t>Position 1 Device 2 Selection Visibility</t>
  </si>
  <si>
    <t>Position 1 Device 3 Selection Visibility</t>
  </si>
  <si>
    <t>Position 1 Device 4 Selection Visibility</t>
  </si>
  <si>
    <t>Position 2 Device 1 Selection Visibility</t>
  </si>
  <si>
    <t>Position 2 Device 2 Selection Visibility</t>
  </si>
  <si>
    <t>Position 2 Device 3 Selection Visibility</t>
  </si>
  <si>
    <t>Position 2 Device 4 Selection Visibility</t>
  </si>
  <si>
    <t>Position 3 Device 1 Selection Visibility</t>
  </si>
  <si>
    <t>Position 3 Device 2 Selection Visibility</t>
  </si>
  <si>
    <t>Position 3 Device 3 Selection Visibility</t>
  </si>
  <si>
    <t>Position 3 Device 4 Selection Visibility</t>
  </si>
  <si>
    <t>Position 4 Device 1 Selection Visibility</t>
  </si>
  <si>
    <t>Position 4 Device 2 Selection Visibility</t>
  </si>
  <si>
    <t>Position 4 Device 3 Selection Visibility</t>
  </si>
  <si>
    <t>Position 4 Device 4 Selection Visibility</t>
  </si>
  <si>
    <t>d</t>
  </si>
  <si>
    <t>hr</t>
  </si>
  <si>
    <t>min</t>
  </si>
  <si>
    <t>Hours</t>
  </si>
  <si>
    <t>Device 1 Name</t>
  </si>
  <si>
    <t>Device 2 Name</t>
  </si>
  <si>
    <t>Device 3 Name</t>
  </si>
  <si>
    <t>Device 4 Name</t>
  </si>
  <si>
    <t>Description of Position 1</t>
  </si>
  <si>
    <t>Description of Position 2</t>
  </si>
  <si>
    <t>Description of Position 3</t>
  </si>
  <si>
    <t>Description of Position 4</t>
  </si>
  <si>
    <t>Duty Rotation Popup Device Type Description</t>
  </si>
  <si>
    <t>Duty Selection Assignment Update Error</t>
  </si>
  <si>
    <t>Duty Selection Assignment Update Request</t>
  </si>
  <si>
    <t>Number of Devices for Duty Logic</t>
  </si>
  <si>
    <t>Duty Timed Rotation Days Remaining</t>
  </si>
  <si>
    <t>Duty Rotation Hour Setpoint</t>
  </si>
  <si>
    <t>Duty Rotation Number of Days Setpoint</t>
  </si>
  <si>
    <t>Duty Timed Rotation Hour Setpoint</t>
  </si>
  <si>
    <t>Duty Timed Rotation Minute Setpoint</t>
  </si>
  <si>
    <t>Duty 1 Assignment Current</t>
  </si>
  <si>
    <t>Duty 1 Assignment Entry</t>
  </si>
  <si>
    <t>Duty 2 Assignment Current</t>
  </si>
  <si>
    <t>Duty 2 Assignment Entry</t>
  </si>
  <si>
    <t>Duty 3 Assignment Current</t>
  </si>
  <si>
    <t>Duty 3 Assignment Entry</t>
  </si>
  <si>
    <t>Duty 4 Assignment Current</t>
  </si>
  <si>
    <t>Duty 4 Assignment Entry</t>
  </si>
  <si>
    <t>Station Pump Duty</t>
  </si>
  <si>
    <t>Duty Select Info Popup Line 1 String</t>
  </si>
  <si>
    <t>Duty Select Info Popup Line 2 String</t>
  </si>
  <si>
    <t>Duty Select Info Popup Line 3 String</t>
  </si>
  <si>
    <t>Duty Select Info Popup Line 4 String</t>
  </si>
  <si>
    <t>Duty Select Info Popup Line 5 String</t>
  </si>
  <si>
    <t>Duty Select Info Popup Line 6 String</t>
  </si>
  <si>
    <t>Duty Rotation Mode Select</t>
  </si>
  <si>
    <t>Days</t>
  </si>
  <si>
    <t>Duty Level Selected Transmitter Indirect Tag</t>
  </si>
  <si>
    <t>Duty Level Transmitter Selected Indirect Tag</t>
  </si>
  <si>
    <t>Duty Level Enable Indirect Tag</t>
  </si>
  <si>
    <t>Station Level Duty</t>
  </si>
  <si>
    <t>Overflow</t>
  </si>
  <si>
    <t>Sample Overflow</t>
  </si>
  <si>
    <t>Hour</t>
  </si>
  <si>
    <t>Minutes</t>
  </si>
  <si>
    <t>Seconds</t>
  </si>
  <si>
    <t>#</t>
  </si>
  <si>
    <t>m3</t>
  </si>
  <si>
    <t>Overflow Alarm Indirect Tag</t>
  </si>
  <si>
    <t>Overflow Event Present Indirect Tag</t>
  </si>
  <si>
    <t>Overflow Report Reset Indirect Tag</t>
  </si>
  <si>
    <t>Overflow Event Count Indirect Tag</t>
  </si>
  <si>
    <t>Overflow Quantity Indirect Tag</t>
  </si>
  <si>
    <t>Overflow Duration Indirect Tag</t>
  </si>
  <si>
    <t>Overflow End Day Indirect Tag</t>
  </si>
  <si>
    <t>Overflow End Hour Indirect Tag</t>
  </si>
  <si>
    <t>Overflow End Month Indirect Tag</t>
  </si>
  <si>
    <t>Overflow End Minute Indirect Tag</t>
  </si>
  <si>
    <t>Overflow End Second Indirect Tag</t>
  </si>
  <si>
    <t>Overflow End Year Indirect Tag</t>
  </si>
  <si>
    <t>Overflow Start Day Indirect Tag</t>
  </si>
  <si>
    <t>Overflow Start Hour Indirect Tag</t>
  </si>
  <si>
    <t>Overflow Start Month Indirect Tag</t>
  </si>
  <si>
    <t>Overflow Start Minute Indirect Tag</t>
  </si>
  <si>
    <t>Overflow Start Second Indirect Tag</t>
  </si>
  <si>
    <t>Overflow Start Year Indirect Tag</t>
  </si>
  <si>
    <t>Instructions</t>
  </si>
  <si>
    <t xml:space="preserve">These templates are provided as an aid for HMI application development.  </t>
  </si>
  <si>
    <t>Programmers are responsible for ensuring the tags created for their application are complete and correct, irrespective of any errors or ommissions in these templates</t>
  </si>
  <si>
    <t>In order to create tags for a device, Programmers shall change any cell highlighted orange to an appropriate value</t>
  </si>
  <si>
    <t xml:space="preserve">Programmers are required to remove any optional tags, highlighted blue, not required in their application. </t>
  </si>
  <si>
    <t>Any cell highlighted brown should not typically require modification as it will automatically configure itself based on the values in orange cells</t>
  </si>
  <si>
    <t>If tag descriptions in Column 3 are too long, and the device description cannot be shorted, then the existing standard descriptors may be modified</t>
  </si>
  <si>
    <t>Column D must be deleted before saving the templates as CSV files for DBLoad into Intouch</t>
  </si>
  <si>
    <t>Alarm Description</t>
  </si>
  <si>
    <t>Alarm Description 2</t>
  </si>
  <si>
    <t>Special Instructions for SCADA_SYS_DI Dialer Alarms Sheet</t>
  </si>
  <si>
    <t>Each Dialer Alarm Consists of 4 Discrete Tags (Alarm, Raw Enable, Dialer Enable, Supervisor Enable) and a message tag (Disabled Reason)</t>
  </si>
  <si>
    <t>Alarm Description 3</t>
  </si>
  <si>
    <t>To Create a New Alarm, Copy the 6 Rows that constitute the alarm tagas and the two tag headers for the imort and paste them on the next available row</t>
  </si>
  <si>
    <t>When the Alarm Tag and Alarm Description are filled out by the Programmer, all remaining tag names and descriptions are populated</t>
  </si>
  <si>
    <t>Update the Alarm Tag and Tag Description.  Note that parts of these cells are already auto-generated from other fields in the worksheet</t>
  </si>
  <si>
    <t>Power Monitor Indirect GW Hours</t>
  </si>
  <si>
    <t>Power Monitor Indirect GVAR Hours</t>
  </si>
  <si>
    <t>KWh</t>
  </si>
  <si>
    <t>KVARH</t>
  </si>
  <si>
    <t>Pump Speed Setpoint Visiblity Control - Indirect</t>
  </si>
  <si>
    <t>Analog Signal Decimal Points - Indirect</t>
  </si>
  <si>
    <t>:IO.DIsc</t>
  </si>
  <si>
    <t>:IODIsc</t>
  </si>
  <si>
    <t>BXX_DEV1_FI1</t>
  </si>
  <si>
    <t>BXX_DEV1_DM1</t>
  </si>
  <si>
    <t>BXX_DEV1_SI1</t>
  </si>
  <si>
    <t>BXX_DEV1_SK1</t>
  </si>
  <si>
    <t>BXX_DEV1_FV1</t>
  </si>
  <si>
    <t>BXX_MXV1_ZI1</t>
  </si>
  <si>
    <t>BXX_ATS1_SG1</t>
  </si>
  <si>
    <t>BXX_GEN1_DE1</t>
  </si>
  <si>
    <t>BXX_PRM1</t>
  </si>
  <si>
    <t>BXX_WTN1_FI1</t>
  </si>
  <si>
    <t>BXX_DTY1_DP</t>
  </si>
  <si>
    <t>BXX_DTY1_LI</t>
  </si>
  <si>
    <t>BXX_OVF1_FI1</t>
  </si>
  <si>
    <t>BXX_PLC1</t>
  </si>
  <si>
    <t>ANIN_PB_AE</t>
  </si>
  <si>
    <t>ANIN_PB_HH</t>
  </si>
  <si>
    <t>ANIN_PB_HI</t>
  </si>
  <si>
    <t>ANIN_PB_LO</t>
  </si>
  <si>
    <t>ANIN_PB_LL</t>
  </si>
  <si>
    <t>ANIN_PB_ER</t>
  </si>
  <si>
    <t>ANIN_PB_SC</t>
  </si>
  <si>
    <t>ANIN_PB_AD</t>
  </si>
  <si>
    <t>ANIN_DA_ER</t>
  </si>
  <si>
    <t>ANIN_DI_SC</t>
  </si>
  <si>
    <t>ANIN_PB_SV</t>
  </si>
  <si>
    <t>ANIN_PB_SM</t>
  </si>
  <si>
    <t>ANIN_PB_AR</t>
  </si>
  <si>
    <t>ANIN_AO_XM</t>
  </si>
  <si>
    <t>ANIN_AO_SV</t>
  </si>
  <si>
    <t>ANIN_AI_CV</t>
  </si>
  <si>
    <t>ANIN_AO_HH</t>
  </si>
  <si>
    <t>ANIN_AO_HI</t>
  </si>
  <si>
    <t>ANIN_AO_LL</t>
  </si>
  <si>
    <t>ANIN_AO_LO</t>
  </si>
  <si>
    <t>ANIN_SN_HH</t>
  </si>
  <si>
    <t>ANIN_SN_LO</t>
  </si>
  <si>
    <t>ANIN_SN_HI</t>
  </si>
  <si>
    <t>ANIN_SN_LL</t>
  </si>
  <si>
    <t>ANIN_E1_EM</t>
  </si>
  <si>
    <t>ANIN_E1_XM</t>
  </si>
  <si>
    <t>ANIN_E2_CV</t>
  </si>
  <si>
    <t>ANIN_E3_CV</t>
  </si>
  <si>
    <t>ANIN_AI_VI</t>
  </si>
  <si>
    <t>PMP_DI_SC</t>
  </si>
  <si>
    <t>PMP_PB_AE</t>
  </si>
  <si>
    <t>PMP_PB_ER</t>
  </si>
  <si>
    <t>PMP_PB_SC</t>
  </si>
  <si>
    <t>PMP_PB_SF</t>
  </si>
  <si>
    <t>PMP_PB_SM</t>
  </si>
  <si>
    <t>PMP_PB_SU</t>
  </si>
  <si>
    <t>PMP_PB_SV</t>
  </si>
  <si>
    <t>PMP_PB_XF</t>
  </si>
  <si>
    <t>PMP_PB_XU</t>
  </si>
  <si>
    <t>PMP_PB_ZA</t>
  </si>
  <si>
    <t>PMP_AI_CV</t>
  </si>
  <si>
    <t>PMP_AI_VI</t>
  </si>
  <si>
    <t>PMP_AO_SV</t>
  </si>
  <si>
    <t>PMP_AO_ZA</t>
  </si>
  <si>
    <t>PMP_DMAI_RT</t>
  </si>
  <si>
    <t>PMP_E1_EM</t>
  </si>
  <si>
    <t>PMP_E1_XM</t>
  </si>
  <si>
    <t>PMP_E2_CV</t>
  </si>
  <si>
    <t>PMP_E3_CV</t>
  </si>
  <si>
    <t>PMP_SIAO_CT</t>
  </si>
  <si>
    <t>PMP_SK_DC2</t>
  </si>
  <si>
    <t>PMP_SK_DC3</t>
  </si>
  <si>
    <t>PMP_SK_DEC</t>
  </si>
  <si>
    <t>PMP_SN_ZA</t>
  </si>
  <si>
    <t>PMP_NAME</t>
  </si>
  <si>
    <t>PMP_DM_GRP</t>
  </si>
  <si>
    <t>PMP_SI_NAME</t>
  </si>
  <si>
    <t>PMP_SK_NAME</t>
  </si>
  <si>
    <t>VLV_NAME</t>
  </si>
  <si>
    <t>VLV_FBNAME</t>
  </si>
  <si>
    <t>VLV_DI_SC</t>
  </si>
  <si>
    <t>VLV_PB_AE</t>
  </si>
  <si>
    <t>VLV_PB_ER</t>
  </si>
  <si>
    <t>VLV_PB_SC</t>
  </si>
  <si>
    <t>VLV_PB_SF</t>
  </si>
  <si>
    <t>VLV_PB_SM</t>
  </si>
  <si>
    <t>VLV_PB_SU</t>
  </si>
  <si>
    <t>VLV_PB_SV</t>
  </si>
  <si>
    <t>VLV_PB_XF</t>
  </si>
  <si>
    <t>VLV_PB_XU</t>
  </si>
  <si>
    <t>VLV_PB_ZA</t>
  </si>
  <si>
    <t>VLV_AI_CV</t>
  </si>
  <si>
    <t>VLV_AI_VI</t>
  </si>
  <si>
    <t>VLV_AO_SV</t>
  </si>
  <si>
    <t>VLV_AO_ZA</t>
  </si>
  <si>
    <t>VLV_E1_EM</t>
  </si>
  <si>
    <t>VLV_E1_XM</t>
  </si>
  <si>
    <t>VLV_E2_CV</t>
  </si>
  <si>
    <t>VLV_E3_CV</t>
  </si>
  <si>
    <t>VLV_SN_ZA</t>
  </si>
  <si>
    <t>VLV_FX_GRP</t>
  </si>
  <si>
    <t>VLV_FX_DI_AA</t>
  </si>
  <si>
    <t>VLV_FX_DI_CD</t>
  </si>
  <si>
    <t>VLV_FX_DI_CL</t>
  </si>
  <si>
    <t>VLV_FX_DI_OD</t>
  </si>
  <si>
    <t>VLV_FX_DI_PM</t>
  </si>
  <si>
    <t>VLV_FX_PB_AR</t>
  </si>
  <si>
    <t>VLV_FX_PB_PC</t>
  </si>
  <si>
    <t>VLV_FX_PB_PM</t>
  </si>
  <si>
    <t>VLV_FX_PB_PO</t>
  </si>
  <si>
    <t>VLV_MV_AO_CT</t>
  </si>
  <si>
    <t>PMP_SK_AI_CV</t>
  </si>
  <si>
    <t>PMP_SK_AI_VI</t>
  </si>
  <si>
    <t>PMP_SK_AO_CT</t>
  </si>
  <si>
    <t>PMP_SK_AO_SV</t>
  </si>
  <si>
    <t>PMP_SK_AO_ZA</t>
  </si>
  <si>
    <t>PMP_SK_E1_EM</t>
  </si>
  <si>
    <t>PMP_SK_E1_XM</t>
  </si>
  <si>
    <t>PMP_SK_E2_CV</t>
  </si>
  <si>
    <t>PMP_SK_E3_CV</t>
  </si>
  <si>
    <t>PMP_SK_SN_ZA</t>
  </si>
  <si>
    <t>PMP_SK_DA_ER</t>
  </si>
  <si>
    <t>PMP_SK_DI_SC</t>
  </si>
  <si>
    <t>PMP_SK_PB_ER</t>
  </si>
  <si>
    <t>PMP_SK_PB_SC</t>
  </si>
  <si>
    <t>PMP_SK_PB_SV</t>
  </si>
  <si>
    <t>PMP_SK_PB_ZA</t>
  </si>
  <si>
    <t>PMP_DM_DI_AA</t>
  </si>
  <si>
    <t>PMP_DM_DI_AS</t>
  </si>
  <si>
    <t>PMP_DM_DI_CL</t>
  </si>
  <si>
    <t>PMP_DM_DI_MS</t>
  </si>
  <si>
    <t>PMP_DM_DI_PM</t>
  </si>
  <si>
    <t>PMP_DM_DI_SK</t>
  </si>
  <si>
    <t>PMP_DM_DI_SS</t>
  </si>
  <si>
    <t>PMP_DM_PB_AR</t>
  </si>
  <si>
    <t>PMP_DM_PB_MS</t>
  </si>
  <si>
    <t>PMP_DM_PB_PM</t>
  </si>
  <si>
    <t>PMP_DM_PB_PP</t>
  </si>
  <si>
    <t>PMP_DM_PB_PT</t>
  </si>
  <si>
    <t>PMP_DM_PB_RT</t>
  </si>
  <si>
    <t>ATS_NAME</t>
  </si>
  <si>
    <t>ATS_DA_JE</t>
  </si>
  <si>
    <t>ATS_DI_CL</t>
  </si>
  <si>
    <t>ATS_DI_JN</t>
  </si>
  <si>
    <t>ATS_PB_AE</t>
  </si>
  <si>
    <t>ATS_PB_JR</t>
  </si>
  <si>
    <t>ATS_PB_PP</t>
  </si>
  <si>
    <t>ATS_PB_PT</t>
  </si>
  <si>
    <t>ATS_PB_RM</t>
  </si>
  <si>
    <t>ATS_PB_RT</t>
  </si>
  <si>
    <t>ATS_PB_SM</t>
  </si>
  <si>
    <t>ATS_AI_RT</t>
  </si>
  <si>
    <t>GEN_NAME</t>
  </si>
  <si>
    <t>GEN_DI_AA</t>
  </si>
  <si>
    <t>GEN_DI_CL</t>
  </si>
  <si>
    <t>GEN_DI_SS</t>
  </si>
  <si>
    <t>GEN_PB_AE</t>
  </si>
  <si>
    <t>GEN_PB_AR</t>
  </si>
  <si>
    <t>GEN_PB_RM</t>
  </si>
  <si>
    <t>GEN_PB_RT</t>
  </si>
  <si>
    <t>GEN_PB_SF</t>
  </si>
  <si>
    <t>GEN_PB_SM</t>
  </si>
  <si>
    <t>GEN_PB_XF</t>
  </si>
  <si>
    <t>GEN_AI_RT</t>
  </si>
  <si>
    <t>GEN_GRP</t>
  </si>
  <si>
    <t>PRM01_AI_IP</t>
  </si>
  <si>
    <t>PRM02_AI_IP</t>
  </si>
  <si>
    <t>PRM03_AI_IP</t>
  </si>
  <si>
    <t>PRM04_AI_IP</t>
  </si>
  <si>
    <t>PRM_E1_AI_CV</t>
  </si>
  <si>
    <t>PRM_E2_AI_CV</t>
  </si>
  <si>
    <t>PRM_E3_AI_CV</t>
  </si>
  <si>
    <t>PRM_E4_AI_CV</t>
  </si>
  <si>
    <t>PRM_EA_AI_CV</t>
  </si>
  <si>
    <t>PRM_EB_AI_CV</t>
  </si>
  <si>
    <t>PRM_EC_AI_CV</t>
  </si>
  <si>
    <t>PRM_EI_AI_CV</t>
  </si>
  <si>
    <t>PRM_G1_AI_IP</t>
  </si>
  <si>
    <t>PRM_G2_AI_IP</t>
  </si>
  <si>
    <t>PRM_G3_AI_IP</t>
  </si>
  <si>
    <t>PRM_G4_AI_IP</t>
  </si>
  <si>
    <t>PRM_HZ_AI_CV</t>
  </si>
  <si>
    <t>PRM_I1_AI_CV</t>
  </si>
  <si>
    <t>PRM_I2_AI_CV</t>
  </si>
  <si>
    <t>PRM_I3_AI_CV</t>
  </si>
  <si>
    <t>PRM_I4_AI_CV</t>
  </si>
  <si>
    <t>PRM_ID_AI_CV</t>
  </si>
  <si>
    <t>PRM_II_AI_CV</t>
  </si>
  <si>
    <t>PRM_J1_AI_CV</t>
  </si>
  <si>
    <t>PRM_J2_AI_CV</t>
  </si>
  <si>
    <t>PRM_J3_AI_CV</t>
  </si>
  <si>
    <t>PRM_JD_AI_CV</t>
  </si>
  <si>
    <t>PRM_JM_AI_CV</t>
  </si>
  <si>
    <t>PRM_JH_AI_CV</t>
  </si>
  <si>
    <t>PRM_JI_AI_CV</t>
  </si>
  <si>
    <t>PRM_JN_AI_CV</t>
  </si>
  <si>
    <t>PRM_JV_AI_CV</t>
  </si>
  <si>
    <t>PRM_M1_AI_IP</t>
  </si>
  <si>
    <t>PRM_M2_AI_IP</t>
  </si>
  <si>
    <t>PRM_M3_AI_IP</t>
  </si>
  <si>
    <t>PRM_M4_AI_IP</t>
  </si>
  <si>
    <t>WTN1_FI_AI_C5</t>
  </si>
  <si>
    <t>WTN1_FI_AI_HT</t>
  </si>
  <si>
    <t>WTN1_FI_AI_L5</t>
  </si>
  <si>
    <t>WTN1_FI_AI_MT</t>
  </si>
  <si>
    <t>WTN1_FI_AI_TD</t>
  </si>
  <si>
    <t>WTN1_FI_AI_TY</t>
  </si>
  <si>
    <t>WTN1_FI_AI_WT</t>
  </si>
  <si>
    <t>WTN1_FI_AI_YH</t>
  </si>
  <si>
    <t>WTN1_FI_AI_YL</t>
  </si>
  <si>
    <t>WTN1_FI_AI_YM</t>
  </si>
  <si>
    <t>WTN1_FI_AI_YT</t>
  </si>
  <si>
    <t>WTN1_FI_AI_YW</t>
  </si>
  <si>
    <t>WTN1_FI_AO_CF</t>
  </si>
  <si>
    <t>WTN1_FI_PB_EN</t>
  </si>
  <si>
    <t>DTY_IN_DV1_NM</t>
  </si>
  <si>
    <t>DTY_IN_DV2_NM</t>
  </si>
  <si>
    <t>DTY_IN_DV3_NM</t>
  </si>
  <si>
    <t>DTY_IN_DV4_NM</t>
  </si>
  <si>
    <t>DTY_IN_D1_DP</t>
  </si>
  <si>
    <t>DTY_IN_D2_DP</t>
  </si>
  <si>
    <t>DTY_IN_D3_DP</t>
  </si>
  <si>
    <t>DTY_IN_D4_DP</t>
  </si>
  <si>
    <t>DTY_IN_DV_NM</t>
  </si>
  <si>
    <t>DTY_IN_DA_UE</t>
  </si>
  <si>
    <t>DTY_IN_PB_AU</t>
  </si>
  <si>
    <t>DTY_IN_AI_DV</t>
  </si>
  <si>
    <t>DTY_IN_AI_TY</t>
  </si>
  <si>
    <t>DTY_IN_AO_AI</t>
  </si>
  <si>
    <t>DTY_IN_AO_CT</t>
  </si>
  <si>
    <t>DTY_IN_AO_EN</t>
  </si>
  <si>
    <t>DTY_IN_AO_HS</t>
  </si>
  <si>
    <t>DTY_IN_AO_MS</t>
  </si>
  <si>
    <t>DTY_IN_INFO_LN1</t>
  </si>
  <si>
    <t>DTY_IN_INFO_LN2</t>
  </si>
  <si>
    <t>DTY_IN_INFO_LN3</t>
  </si>
  <si>
    <t>DTY_IN_INFO_LN4</t>
  </si>
  <si>
    <t>DTY_IN_INFO_LN5</t>
  </si>
  <si>
    <t>DTY_IN_INFO_LN6</t>
  </si>
  <si>
    <t>DTY_IN_D1_AI_CT</t>
  </si>
  <si>
    <t>DTY_IN_D2_AI_CT</t>
  </si>
  <si>
    <t>DTY_IN_D3_AI_CT</t>
  </si>
  <si>
    <t>DTY_IN_D4_AI_CT</t>
  </si>
  <si>
    <t>DTY_IN_D1_AO_CT</t>
  </si>
  <si>
    <t>DTY_IN_D2_AO_CT</t>
  </si>
  <si>
    <t>DTY_IN_D3_AO_CT</t>
  </si>
  <si>
    <t>DTY_IN_D4_AO_CT</t>
  </si>
  <si>
    <t>DTY_IN_D1_VIS1</t>
  </si>
  <si>
    <t>DTY_IN_D1_VIS2</t>
  </si>
  <si>
    <t>DTY_IN_D1_VIS3</t>
  </si>
  <si>
    <t>DTY_IN_D1_VIS4</t>
  </si>
  <si>
    <t>DTY_IN_D2_VIS1</t>
  </si>
  <si>
    <t>DTY_IN_D2_VIS2</t>
  </si>
  <si>
    <t>DTY_IN_D2_VIS3</t>
  </si>
  <si>
    <t>DTY_IN_D2_VIS4</t>
  </si>
  <si>
    <t>DTY_IN_D3_VIS1</t>
  </si>
  <si>
    <t>DTY_IN_D3_VIS2</t>
  </si>
  <si>
    <t>DTY_IN_D3_VIS3</t>
  </si>
  <si>
    <t>DTY_IN_D3_VIS4</t>
  </si>
  <si>
    <t>DTY_IN_D4_VIS1</t>
  </si>
  <si>
    <t>DTY_IN_D4_VIS2</t>
  </si>
  <si>
    <t>DTY_IN_D4_VIS3</t>
  </si>
  <si>
    <t>DTY_IN_D4_VIS4</t>
  </si>
  <si>
    <t>DTY_IN_VIS1</t>
  </si>
  <si>
    <t>WW00_DY_PB_EN</t>
  </si>
  <si>
    <t>WW00_DY_AI_CV</t>
  </si>
  <si>
    <t>WW00_DY_AO_CT</t>
  </si>
  <si>
    <t>ANIN_NAME</t>
  </si>
  <si>
    <t>OVF1_DA_SS</t>
  </si>
  <si>
    <t>OVF1_DI_SS</t>
  </si>
  <si>
    <t>OVF1_PB_RS</t>
  </si>
  <si>
    <t>OVF1_AI_BE</t>
  </si>
  <si>
    <t>OVF1_AI_CV</t>
  </si>
  <si>
    <t>OVF1_AI_TM</t>
  </si>
  <si>
    <t>OVF1_SPAI_DY</t>
  </si>
  <si>
    <t>OVF1_SPAI_HS</t>
  </si>
  <si>
    <t>OVF1_SPAI_MM</t>
  </si>
  <si>
    <t>OVF1_SPAI_MS</t>
  </si>
  <si>
    <t>OVF1_SPAI_SN</t>
  </si>
  <si>
    <t>OVF1_SPAI_YY</t>
  </si>
  <si>
    <t>OVF1_STAI_DY</t>
  </si>
  <si>
    <t>OVF1_STAI_HS</t>
  </si>
  <si>
    <t>OVF1_STAI_MM</t>
  </si>
  <si>
    <t>OVF1_STAI_MS</t>
  </si>
  <si>
    <t>OVF1_STAI_SN</t>
  </si>
  <si>
    <t>OVF1_STAI_YY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</si>
</sst>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3">
    <xf numFmtId="0" fontId="0" fillId="0" borderId="0" xfId="0"/>
    <xf numFmtId="0" fontId="0" fillId="0" borderId="0" xfId="0" applyFill="1"/>
    <xf numFmtId="0" fontId="0" fillId="33" borderId="0" xfId="0" applyFill="1"/>
    <xf numFmtId="0" fontId="0" fillId="34" borderId="0" xfId="0" applyFill="1"/>
    <xf numFmtId="0" fontId="0" fillId="35" borderId="0" xfId="0" applyFill="1"/>
    <xf numFmtId="0" fontId="16" fillId="35" borderId="0" xfId="0" applyFont="1" applyFill="1"/>
    <xf numFmtId="0" fontId="0" fillId="37" borderId="0" xfId="0" applyFill="1"/>
    <xf numFmtId="0" fontId="0" fillId="0" borderId="0" xfId="0"/>
    <xf numFmtId="0" fontId="0" fillId="0" borderId="0" xfId="0"/>
    <xf numFmtId="0" fontId="0" fillId="0" borderId="0" xfId="0"/>
    <xf numFmtId="0" fontId="18" fillId="36" borderId="0" xfId="0" applyFont="1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0" fontId="0" fillId="0" borderId="0" xfId="0"/>
    <xf numFmtId="11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1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9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6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ction%208/Wastewater%20PS%20HMI%20Tag%20Templ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BXXPLC1"/>
      <sheetName val="BXX Alarms"/>
      <sheetName val="BXX Security"/>
      <sheetName val="BXX Other Discretes"/>
      <sheetName val="BXXDIH1PI1"/>
      <sheetName val="BXXDIH1FI1"/>
      <sheetName val="BXXGEN1TK1"/>
      <sheetName val="BXXWW01LI1"/>
      <sheetName val="BXXWW02LI1"/>
      <sheetName val="BXXBLS1LI1"/>
      <sheetName val="BXXBLS2LI1"/>
      <sheetName val="BXXOVF1FI1"/>
      <sheetName val="BXXSLP1II1"/>
      <sheetName val="BXXSLP2II1"/>
      <sheetName val="BXXSLP3II1"/>
      <sheetName val="BXXSLP4II1"/>
      <sheetName val="BXXSLP1DM1"/>
      <sheetName val="BXXSLP2VF1"/>
      <sheetName val="BXXSLP3DM1"/>
      <sheetName val="BXXSLP4VF1"/>
      <sheetName val="BXXGEN1DE1"/>
      <sheetName val="BXXATS1SG1"/>
      <sheetName val="BXXDTY1DP"/>
      <sheetName val="BXXDTY1LI"/>
    </sheetNames>
    <sheetDataSet>
      <sheetData sheetId="0"/>
      <sheetData sheetId="1">
        <row r="3">
          <cell r="C3" t="str">
            <v>BXX</v>
          </cell>
        </row>
        <row r="5">
          <cell r="A5" t="str">
            <v>BXX</v>
          </cell>
          <cell r="B5" t="str">
            <v>Plant</v>
          </cell>
          <cell r="C5" t="str">
            <v>Station BXX</v>
          </cell>
        </row>
        <row r="7">
          <cell r="A7" t="str">
            <v>BXX_DSAB</v>
          </cell>
          <cell r="B7" t="str">
            <v>Disabled_Alarms</v>
          </cell>
          <cell r="C7" t="str">
            <v>BXX Disabled Alarms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zoomScaleNormal="100" workbookViewId="0">
      <selection activeCell="H3" sqref="H3"/>
    </sheetView>
  </sheetViews>
  <sheetFormatPr defaultRowHeight="15" x14ac:dyDescent="0.25"/>
  <cols>
    <col min="1" max="1" width="11.5703125" bestFit="1" customWidth="1"/>
    <col min="3" max="3" width="24.140625" customWidth="1"/>
    <col min="4" max="4" width="5.42578125" customWidth="1"/>
  </cols>
  <sheetData>
    <row r="1" spans="1:2" x14ac:dyDescent="0.25">
      <c r="A1" t="s">
        <v>120</v>
      </c>
    </row>
    <row r="2" spans="1:2" x14ac:dyDescent="0.25">
      <c r="B2" t="s">
        <v>126</v>
      </c>
    </row>
    <row r="3" spans="1:2" x14ac:dyDescent="0.25">
      <c r="A3" s="3"/>
      <c r="B3" t="s">
        <v>121</v>
      </c>
    </row>
    <row r="4" spans="1:2" x14ac:dyDescent="0.25">
      <c r="A4" s="2"/>
      <c r="B4" t="s">
        <v>125</v>
      </c>
    </row>
    <row r="5" spans="1:2" x14ac:dyDescent="0.25">
      <c r="A5" s="4"/>
      <c r="B5" t="s">
        <v>122</v>
      </c>
    </row>
    <row r="6" spans="1:2" x14ac:dyDescent="0.25">
      <c r="A6" s="10">
        <v>51</v>
      </c>
      <c r="B6" t="s">
        <v>223</v>
      </c>
    </row>
    <row r="7" spans="1:2" x14ac:dyDescent="0.25">
      <c r="A7" s="6"/>
      <c r="B7" t="s">
        <v>222</v>
      </c>
    </row>
    <row r="10" spans="1:2" x14ac:dyDescent="0.25">
      <c r="A10" s="247" t="s">
        <v>507</v>
      </c>
      <c r="B10" s="262"/>
    </row>
    <row r="11" spans="1:2" x14ac:dyDescent="0.25">
      <c r="A11" s="262">
        <v>1</v>
      </c>
      <c r="B11" s="262" t="s">
        <v>508</v>
      </c>
    </row>
    <row r="12" spans="1:2" x14ac:dyDescent="0.25">
      <c r="A12" s="262">
        <v>2</v>
      </c>
      <c r="B12" s="262" t="s">
        <v>509</v>
      </c>
    </row>
    <row r="13" spans="1:2" x14ac:dyDescent="0.25">
      <c r="A13" s="262">
        <v>3</v>
      </c>
      <c r="B13" s="262" t="s">
        <v>510</v>
      </c>
    </row>
    <row r="14" spans="1:2" s="262" customFormat="1" x14ac:dyDescent="0.25">
      <c r="A14" s="262">
        <v>4</v>
      </c>
      <c r="B14" s="262" t="s">
        <v>511</v>
      </c>
    </row>
    <row r="15" spans="1:2" x14ac:dyDescent="0.25">
      <c r="A15" s="262">
        <v>5</v>
      </c>
      <c r="B15" s="262" t="s">
        <v>512</v>
      </c>
    </row>
    <row r="16" spans="1:2" x14ac:dyDescent="0.25">
      <c r="A16" s="262">
        <v>6</v>
      </c>
      <c r="B16" s="262" t="s">
        <v>513</v>
      </c>
    </row>
    <row r="17" spans="1:2" x14ac:dyDescent="0.25">
      <c r="A17" s="262">
        <v>7</v>
      </c>
      <c r="B17" s="262" t="s">
        <v>514</v>
      </c>
    </row>
    <row r="18" spans="1:2" x14ac:dyDescent="0.25">
      <c r="A18" s="262"/>
      <c r="B18" s="262"/>
    </row>
    <row r="19" spans="1:2" x14ac:dyDescent="0.25">
      <c r="A19" s="262"/>
      <c r="B19" s="262"/>
    </row>
    <row r="20" spans="1:2" x14ac:dyDescent="0.25">
      <c r="A20" s="247" t="s">
        <v>517</v>
      </c>
      <c r="B20" s="262"/>
    </row>
    <row r="21" spans="1:2" x14ac:dyDescent="0.25">
      <c r="A21" s="262">
        <v>1</v>
      </c>
      <c r="B21" s="262" t="s">
        <v>518</v>
      </c>
    </row>
    <row r="22" spans="1:2" x14ac:dyDescent="0.25">
      <c r="A22" s="262">
        <v>2</v>
      </c>
      <c r="B22" s="262" t="s">
        <v>520</v>
      </c>
    </row>
    <row r="23" spans="1:2" x14ac:dyDescent="0.25">
      <c r="A23" s="262">
        <v>3</v>
      </c>
      <c r="B23" s="262" t="s">
        <v>522</v>
      </c>
    </row>
    <row r="24" spans="1:2" x14ac:dyDescent="0.25">
      <c r="A24" s="262">
        <v>4</v>
      </c>
      <c r="B24" s="262" t="s">
        <v>521</v>
      </c>
    </row>
  </sheetData>
  <pageMargins left="0.7" right="0.7" top="0.97222222222222221" bottom="0.75" header="0.3" footer="0.3"/>
  <pageSetup orientation="portrait" r:id="rId1"/>
  <headerFooter>
    <oddHeader>&amp;L&amp;"Times New Roman,Regular"Regional Municipality of Halton  
SCADA Standards Manual Section 6 HMI Programming
Appendix 6A HMI Tag Template&amp;R&amp;"Times New Roman,Regular"SCADA STANDARDS 2022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86"/>
  <sheetViews>
    <sheetView zoomScaleNormal="100" workbookViewId="0">
      <selection activeCell="A51" sqref="A51"/>
    </sheetView>
  </sheetViews>
  <sheetFormatPr defaultRowHeight="15" x14ac:dyDescent="0.25"/>
  <cols>
    <col min="1" max="1" width="21.85546875" bestFit="1" customWidth="1"/>
    <col min="2" max="2" width="10.85546875" bestFit="1" customWidth="1"/>
    <col min="3" max="3" width="48.42578125" bestFit="1" customWidth="1"/>
    <col min="4" max="4" width="5.5703125" style="4" customWidth="1"/>
    <col min="5" max="5" width="11.28515625" customWidth="1"/>
    <col min="6" max="7" width="17.7109375" customWidth="1"/>
    <col min="8" max="8" width="13.7109375" customWidth="1"/>
    <col min="9" max="9" width="23.28515625" customWidth="1"/>
    <col min="10" max="10" width="18.7109375" customWidth="1"/>
    <col min="11" max="12" width="18.140625" customWidth="1"/>
    <col min="13" max="13" width="21" customWidth="1"/>
    <col min="14" max="14" width="15" customWidth="1"/>
    <col min="15" max="15" width="16.7109375" bestFit="1" customWidth="1"/>
    <col min="16" max="16" width="14.7109375" bestFit="1" customWidth="1"/>
    <col min="17" max="17" width="14.42578125" bestFit="1" customWidth="1"/>
    <col min="18" max="18" width="16.140625" bestFit="1" customWidth="1"/>
    <col min="19" max="20" width="19.140625" bestFit="1" customWidth="1"/>
    <col min="21" max="21" width="15.85546875" bestFit="1" customWidth="1"/>
    <col min="22" max="22" width="16" bestFit="1" customWidth="1"/>
    <col min="23" max="23" width="9.8554687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9.7109375" bestFit="1" customWidth="1"/>
    <col min="42" max="42" width="9" bestFit="1" customWidth="1"/>
    <col min="43" max="43" width="10.140625" bestFit="1" customWidth="1"/>
    <col min="44" max="44" width="11.28515625" bestFit="1" customWidth="1"/>
    <col min="45" max="45" width="15.42578125" bestFit="1" customWidth="1"/>
    <col min="46" max="46" width="21.7109375" customWidth="1"/>
    <col min="47" max="47" width="8.7109375" bestFit="1" customWidth="1"/>
    <col min="48" max="48" width="40.85546875" bestFit="1" customWidth="1"/>
    <col min="49" max="49" width="14" bestFit="1" customWidth="1"/>
    <col min="50" max="50" width="15.7109375" bestFit="1" customWidth="1"/>
    <col min="51" max="51" width="13.7109375" bestFit="1" customWidth="1"/>
    <col min="52" max="52" width="13.42578125" bestFit="1" customWidth="1"/>
    <col min="53" max="53" width="15.140625" bestFit="1" customWidth="1"/>
    <col min="54" max="55" width="18.140625" bestFit="1" customWidth="1"/>
    <col min="56" max="56" width="14.855468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140625" bestFit="1" customWidth="1"/>
    <col min="61" max="62" width="19.140625" bestFit="1" customWidth="1"/>
    <col min="63" max="63" width="15.85546875" bestFit="1" customWidth="1"/>
    <col min="64" max="64" width="13.28515625" bestFit="1" customWidth="1"/>
  </cols>
  <sheetData>
    <row r="1" spans="1:64" x14ac:dyDescent="0.25">
      <c r="A1" s="8" t="s">
        <v>130</v>
      </c>
      <c r="D1" s="35"/>
    </row>
    <row r="2" spans="1:64" x14ac:dyDescent="0.25">
      <c r="A2" s="7" t="s">
        <v>3</v>
      </c>
      <c r="B2" s="7" t="s">
        <v>4</v>
      </c>
      <c r="C2" s="7" t="s">
        <v>5</v>
      </c>
      <c r="D2" s="5" t="s">
        <v>119</v>
      </c>
      <c r="E2" s="7" t="s">
        <v>6</v>
      </c>
      <c r="F2" s="7" t="s">
        <v>7</v>
      </c>
      <c r="G2" s="7" t="s">
        <v>8</v>
      </c>
      <c r="H2" s="7" t="s">
        <v>9</v>
      </c>
      <c r="I2" s="7" t="s">
        <v>10</v>
      </c>
      <c r="J2" s="7" t="s">
        <v>11</v>
      </c>
      <c r="K2" s="7" t="s">
        <v>12</v>
      </c>
      <c r="L2" s="7" t="s">
        <v>13</v>
      </c>
      <c r="M2" s="7" t="s">
        <v>14</v>
      </c>
      <c r="N2" s="7" t="s">
        <v>15</v>
      </c>
      <c r="O2" s="7" t="s">
        <v>16</v>
      </c>
      <c r="P2" s="7" t="s">
        <v>17</v>
      </c>
      <c r="Q2" s="7" t="s">
        <v>18</v>
      </c>
      <c r="R2" s="7" t="s">
        <v>19</v>
      </c>
      <c r="S2" s="7" t="s">
        <v>20</v>
      </c>
      <c r="T2" s="7" t="s">
        <v>21</v>
      </c>
      <c r="U2" s="7" t="s">
        <v>22</v>
      </c>
      <c r="V2" s="7" t="s">
        <v>23</v>
      </c>
    </row>
    <row r="3" spans="1:64" x14ac:dyDescent="0.25">
      <c r="A3" s="2" t="s">
        <v>539</v>
      </c>
      <c r="B3" s="2" t="s">
        <v>2</v>
      </c>
      <c r="C3" s="2" t="s">
        <v>135</v>
      </c>
      <c r="D3" s="4">
        <f t="shared" ref="D3:D5" si="0">LEN(C3)</f>
        <v>22</v>
      </c>
      <c r="E3" s="9" t="s">
        <v>0</v>
      </c>
      <c r="F3" s="9">
        <v>999</v>
      </c>
      <c r="G3" s="9">
        <v>0</v>
      </c>
      <c r="H3" s="9">
        <v>0</v>
      </c>
      <c r="I3" s="9">
        <v>0</v>
      </c>
      <c r="J3" s="9">
        <v>0</v>
      </c>
      <c r="K3" s="9">
        <v>0</v>
      </c>
      <c r="L3" s="9">
        <v>0</v>
      </c>
      <c r="M3" s="9">
        <v>0</v>
      </c>
      <c r="N3" s="9">
        <v>0</v>
      </c>
    </row>
    <row r="4" spans="1:64" s="174" customFormat="1" x14ac:dyDescent="0.25">
      <c r="A4" s="175" t="s">
        <v>65</v>
      </c>
      <c r="B4" s="175" t="s">
        <v>4</v>
      </c>
      <c r="C4" s="175" t="s">
        <v>5</v>
      </c>
      <c r="D4" s="4">
        <f t="shared" si="0"/>
        <v>7</v>
      </c>
      <c r="E4" s="176" t="s">
        <v>30</v>
      </c>
      <c r="F4" s="176" t="s">
        <v>6</v>
      </c>
      <c r="G4" s="176" t="s">
        <v>7</v>
      </c>
      <c r="H4" s="176" t="s">
        <v>31</v>
      </c>
      <c r="I4" s="176" t="s">
        <v>66</v>
      </c>
      <c r="J4" s="176" t="s">
        <v>67</v>
      </c>
      <c r="K4" s="176" t="s">
        <v>68</v>
      </c>
      <c r="L4" s="176" t="s">
        <v>69</v>
      </c>
      <c r="M4" s="176" t="s">
        <v>70</v>
      </c>
      <c r="N4" s="176" t="s">
        <v>71</v>
      </c>
      <c r="O4" s="176" t="s">
        <v>72</v>
      </c>
      <c r="P4" s="176" t="s">
        <v>73</v>
      </c>
      <c r="Q4" s="176" t="s">
        <v>74</v>
      </c>
      <c r="R4" s="176" t="s">
        <v>75</v>
      </c>
      <c r="S4" s="176" t="s">
        <v>76</v>
      </c>
      <c r="T4" s="176" t="s">
        <v>77</v>
      </c>
      <c r="U4" s="176" t="s">
        <v>78</v>
      </c>
      <c r="V4" s="176" t="s">
        <v>79</v>
      </c>
      <c r="W4" s="176" t="s">
        <v>80</v>
      </c>
      <c r="X4" s="176" t="s">
        <v>81</v>
      </c>
      <c r="Y4" s="176" t="s">
        <v>82</v>
      </c>
      <c r="Z4" s="176" t="s">
        <v>83</v>
      </c>
      <c r="AA4" s="176" t="s">
        <v>84</v>
      </c>
      <c r="AB4" s="176" t="s">
        <v>85</v>
      </c>
      <c r="AC4" s="176" t="s">
        <v>86</v>
      </c>
      <c r="AD4" s="176" t="s">
        <v>87</v>
      </c>
      <c r="AE4" s="176" t="s">
        <v>88</v>
      </c>
      <c r="AF4" s="176" t="s">
        <v>89</v>
      </c>
      <c r="AG4" s="176" t="s">
        <v>90</v>
      </c>
      <c r="AH4" s="176" t="s">
        <v>91</v>
      </c>
      <c r="AI4" s="176" t="s">
        <v>92</v>
      </c>
      <c r="AJ4" s="176" t="s">
        <v>93</v>
      </c>
      <c r="AK4" s="176" t="s">
        <v>94</v>
      </c>
      <c r="AL4" s="176" t="s">
        <v>95</v>
      </c>
      <c r="AM4" s="176" t="s">
        <v>96</v>
      </c>
      <c r="AN4" s="176" t="s">
        <v>97</v>
      </c>
      <c r="AO4" s="176" t="s">
        <v>37</v>
      </c>
      <c r="AP4" s="176" t="s">
        <v>38</v>
      </c>
      <c r="AQ4" s="176" t="s">
        <v>8</v>
      </c>
      <c r="AR4" s="176" t="s">
        <v>9</v>
      </c>
      <c r="AS4" s="176" t="s">
        <v>10</v>
      </c>
      <c r="AT4" s="176" t="s">
        <v>11</v>
      </c>
      <c r="AU4" s="176" t="s">
        <v>12</v>
      </c>
      <c r="AV4" s="176" t="s">
        <v>13</v>
      </c>
      <c r="AW4" s="176" t="s">
        <v>14</v>
      </c>
      <c r="AX4" s="176" t="s">
        <v>16</v>
      </c>
      <c r="AY4" s="176" t="s">
        <v>17</v>
      </c>
      <c r="AZ4" s="176" t="s">
        <v>18</v>
      </c>
      <c r="BA4" s="176" t="s">
        <v>19</v>
      </c>
      <c r="BB4" s="176" t="s">
        <v>20</v>
      </c>
      <c r="BC4" s="176" t="s">
        <v>21</v>
      </c>
      <c r="BD4" s="176" t="s">
        <v>22</v>
      </c>
      <c r="BE4" s="176" t="s">
        <v>39</v>
      </c>
    </row>
    <row r="5" spans="1:64" s="174" customFormat="1" x14ac:dyDescent="0.25">
      <c r="A5" s="177" t="s">
        <v>375</v>
      </c>
      <c r="B5" s="177" t="s">
        <v>144</v>
      </c>
      <c r="C5" s="177" t="s">
        <v>376</v>
      </c>
      <c r="D5" s="4">
        <f t="shared" si="0"/>
        <v>45</v>
      </c>
      <c r="E5" s="178" t="s">
        <v>1</v>
      </c>
      <c r="F5" s="178" t="s">
        <v>1</v>
      </c>
      <c r="G5" s="178">
        <v>0</v>
      </c>
      <c r="H5" s="178" t="s">
        <v>1</v>
      </c>
      <c r="I5" s="178" t="s">
        <v>1</v>
      </c>
      <c r="J5" s="178">
        <v>0</v>
      </c>
      <c r="K5" s="178">
        <v>0</v>
      </c>
      <c r="L5" s="178"/>
      <c r="M5" s="178">
        <v>0</v>
      </c>
      <c r="N5" s="178">
        <v>0</v>
      </c>
      <c r="O5" s="178">
        <v>9999</v>
      </c>
      <c r="P5" s="178">
        <v>0</v>
      </c>
      <c r="Q5" s="178">
        <v>0</v>
      </c>
      <c r="R5" s="178" t="s">
        <v>40</v>
      </c>
      <c r="S5" s="178">
        <v>0</v>
      </c>
      <c r="T5" s="178">
        <v>1</v>
      </c>
      <c r="U5" s="178" t="s">
        <v>40</v>
      </c>
      <c r="V5" s="178">
        <v>0</v>
      </c>
      <c r="W5" s="178">
        <v>1</v>
      </c>
      <c r="X5" s="178" t="s">
        <v>40</v>
      </c>
      <c r="Y5" s="178">
        <v>0</v>
      </c>
      <c r="Z5" s="178">
        <v>1</v>
      </c>
      <c r="AA5" s="178" t="s">
        <v>40</v>
      </c>
      <c r="AB5" s="178">
        <v>0</v>
      </c>
      <c r="AC5" s="178">
        <v>1</v>
      </c>
      <c r="AD5" s="178" t="s">
        <v>40</v>
      </c>
      <c r="AE5" s="178">
        <v>0</v>
      </c>
      <c r="AF5" s="178">
        <v>1</v>
      </c>
      <c r="AG5" s="178" t="s">
        <v>40</v>
      </c>
      <c r="AH5" s="178">
        <v>0</v>
      </c>
      <c r="AI5" s="178">
        <v>1</v>
      </c>
      <c r="AJ5" s="178">
        <v>0</v>
      </c>
      <c r="AK5" s="178" t="s">
        <v>40</v>
      </c>
      <c r="AL5" s="178">
        <v>0</v>
      </c>
      <c r="AM5" s="178">
        <v>1</v>
      </c>
      <c r="AN5" s="178" t="s">
        <v>98</v>
      </c>
      <c r="AO5" s="178"/>
      <c r="AP5" s="178">
        <v>0</v>
      </c>
      <c r="AQ5" s="178">
        <v>0</v>
      </c>
      <c r="AR5" s="178">
        <v>0</v>
      </c>
      <c r="AS5" s="178">
        <v>0</v>
      </c>
      <c r="AT5" s="178">
        <v>0</v>
      </c>
      <c r="AU5" s="178">
        <v>0</v>
      </c>
      <c r="AV5" s="178">
        <v>0</v>
      </c>
      <c r="AW5" s="178">
        <v>0</v>
      </c>
    </row>
    <row r="6" spans="1:64" x14ac:dyDescent="0.25">
      <c r="A6" s="11" t="s">
        <v>100</v>
      </c>
      <c r="B6" s="11" t="s">
        <v>4</v>
      </c>
      <c r="C6" s="11" t="s">
        <v>5</v>
      </c>
      <c r="D6" s="4">
        <f t="shared" ref="D6:D11" si="1">LEN(C6)</f>
        <v>7</v>
      </c>
      <c r="E6" s="11" t="s">
        <v>30</v>
      </c>
      <c r="F6" s="11" t="s">
        <v>6</v>
      </c>
      <c r="G6" s="11" t="s">
        <v>7</v>
      </c>
      <c r="H6" s="11" t="s">
        <v>31</v>
      </c>
      <c r="I6" s="11" t="s">
        <v>66</v>
      </c>
      <c r="J6" s="11" t="s">
        <v>67</v>
      </c>
      <c r="K6" s="11" t="s">
        <v>68</v>
      </c>
      <c r="L6" s="11" t="s">
        <v>69</v>
      </c>
      <c r="M6" s="11" t="s">
        <v>70</v>
      </c>
      <c r="N6" s="11" t="s">
        <v>101</v>
      </c>
      <c r="O6" s="11" t="s">
        <v>102</v>
      </c>
      <c r="P6" s="11" t="s">
        <v>73</v>
      </c>
      <c r="Q6" s="11" t="s">
        <v>74</v>
      </c>
      <c r="R6" s="11" t="s">
        <v>75</v>
      </c>
      <c r="S6" s="11" t="s">
        <v>76</v>
      </c>
      <c r="T6" s="11" t="s">
        <v>77</v>
      </c>
      <c r="U6" s="11" t="s">
        <v>78</v>
      </c>
      <c r="V6" s="11" t="s">
        <v>79</v>
      </c>
      <c r="W6" s="11" t="s">
        <v>80</v>
      </c>
      <c r="X6" s="11" t="s">
        <v>81</v>
      </c>
      <c r="Y6" s="11" t="s">
        <v>82</v>
      </c>
      <c r="Z6" s="11" t="s">
        <v>83</v>
      </c>
      <c r="AA6" s="11" t="s">
        <v>84</v>
      </c>
      <c r="AB6" s="11" t="s">
        <v>85</v>
      </c>
      <c r="AC6" s="11" t="s">
        <v>86</v>
      </c>
      <c r="AD6" s="11" t="s">
        <v>87</v>
      </c>
      <c r="AE6" s="11" t="s">
        <v>88</v>
      </c>
      <c r="AF6" s="11" t="s">
        <v>89</v>
      </c>
      <c r="AG6" s="11" t="s">
        <v>90</v>
      </c>
      <c r="AH6" s="11" t="s">
        <v>91</v>
      </c>
      <c r="AI6" s="11" t="s">
        <v>92</v>
      </c>
      <c r="AJ6" s="11" t="s">
        <v>93</v>
      </c>
      <c r="AK6" s="11" t="s">
        <v>94</v>
      </c>
      <c r="AL6" s="11" t="s">
        <v>95</v>
      </c>
      <c r="AM6" s="11" t="s">
        <v>96</v>
      </c>
      <c r="AN6" s="11" t="s">
        <v>97</v>
      </c>
      <c r="AO6" s="11" t="s">
        <v>103</v>
      </c>
      <c r="AP6" s="11" t="s">
        <v>104</v>
      </c>
      <c r="AQ6" s="11" t="s">
        <v>105</v>
      </c>
      <c r="AR6" s="11" t="s">
        <v>45</v>
      </c>
      <c r="AS6" s="11" t="s">
        <v>46</v>
      </c>
      <c r="AT6" s="11" t="s">
        <v>47</v>
      </c>
      <c r="AU6" s="11" t="s">
        <v>48</v>
      </c>
      <c r="AV6" s="11" t="s">
        <v>37</v>
      </c>
      <c r="AW6" s="11" t="s">
        <v>38</v>
      </c>
      <c r="AX6" s="11" t="s">
        <v>8</v>
      </c>
      <c r="AY6" s="11" t="s">
        <v>9</v>
      </c>
      <c r="AZ6" s="11" t="s">
        <v>10</v>
      </c>
      <c r="BA6" s="11" t="s">
        <v>11</v>
      </c>
      <c r="BB6" s="11" t="s">
        <v>12</v>
      </c>
      <c r="BC6" s="11" t="s">
        <v>13</v>
      </c>
      <c r="BD6" s="11" t="s">
        <v>14</v>
      </c>
      <c r="BE6" s="11" t="s">
        <v>16</v>
      </c>
      <c r="BF6" s="11" t="s">
        <v>17</v>
      </c>
      <c r="BG6" s="11" t="s">
        <v>18</v>
      </c>
      <c r="BH6" s="11" t="s">
        <v>19</v>
      </c>
      <c r="BI6" s="11" t="s">
        <v>20</v>
      </c>
      <c r="BJ6" s="11" t="s">
        <v>21</v>
      </c>
      <c r="BK6" s="11" t="s">
        <v>22</v>
      </c>
      <c r="BL6" s="11" t="s">
        <v>39</v>
      </c>
    </row>
    <row r="7" spans="1:64" x14ac:dyDescent="0.25">
      <c r="A7" s="6" t="str">
        <f>$A$3&amp;"_"&amp;"IP1"&amp;"_"&amp;"AI_CV"</f>
        <v>BXX_PRM1_IP1_AI_CV</v>
      </c>
      <c r="B7" s="6" t="str">
        <f t="shared" ref="B7:B47" si="2">$A$3</f>
        <v>BXX_PRM1</v>
      </c>
      <c r="C7" s="6" t="str">
        <f>$C$3 &amp; " IP Address Seg. 1"</f>
        <v>Location Power Monitor IP Address Seg. 1</v>
      </c>
      <c r="D7" s="4">
        <f t="shared" si="1"/>
        <v>40</v>
      </c>
      <c r="E7" s="13" t="s">
        <v>1</v>
      </c>
      <c r="F7" s="13" t="s">
        <v>1</v>
      </c>
      <c r="G7" s="13">
        <v>0</v>
      </c>
      <c r="H7" s="13" t="s">
        <v>0</v>
      </c>
      <c r="I7" s="13" t="s">
        <v>1</v>
      </c>
      <c r="J7" s="13">
        <v>0</v>
      </c>
      <c r="K7" s="13">
        <v>0</v>
      </c>
      <c r="L7" s="13"/>
      <c r="M7" s="13">
        <v>0</v>
      </c>
      <c r="N7" s="13">
        <v>0</v>
      </c>
      <c r="O7" s="13">
        <v>255</v>
      </c>
      <c r="P7" s="13">
        <v>0</v>
      </c>
      <c r="Q7" s="13">
        <v>0</v>
      </c>
      <c r="R7" s="13" t="s">
        <v>40</v>
      </c>
      <c r="S7" s="13">
        <v>0</v>
      </c>
      <c r="T7" s="13">
        <v>1</v>
      </c>
      <c r="U7" s="13" t="s">
        <v>40</v>
      </c>
      <c r="V7" s="13">
        <v>0</v>
      </c>
      <c r="W7" s="13">
        <v>1</v>
      </c>
      <c r="X7" s="13" t="s">
        <v>40</v>
      </c>
      <c r="Y7" s="13">
        <v>0</v>
      </c>
      <c r="Z7" s="13">
        <v>1</v>
      </c>
      <c r="AA7" s="13" t="s">
        <v>40</v>
      </c>
      <c r="AB7" s="13">
        <v>0</v>
      </c>
      <c r="AC7" s="13">
        <v>1</v>
      </c>
      <c r="AD7" s="13" t="s">
        <v>40</v>
      </c>
      <c r="AE7" s="13">
        <v>0</v>
      </c>
      <c r="AF7" s="13">
        <v>1</v>
      </c>
      <c r="AG7" s="13" t="s">
        <v>40</v>
      </c>
      <c r="AH7" s="13">
        <v>0</v>
      </c>
      <c r="AI7" s="13">
        <v>1</v>
      </c>
      <c r="AJ7" s="13">
        <v>0</v>
      </c>
      <c r="AK7" s="13" t="s">
        <v>40</v>
      </c>
      <c r="AL7" s="13">
        <v>0</v>
      </c>
      <c r="AM7" s="13">
        <v>1</v>
      </c>
      <c r="AN7" s="13" t="s">
        <v>98</v>
      </c>
      <c r="AO7" s="13">
        <v>0</v>
      </c>
      <c r="AP7" s="13">
        <v>255</v>
      </c>
      <c r="AQ7" s="13" t="s">
        <v>106</v>
      </c>
      <c r="AR7" s="6" t="s">
        <v>2</v>
      </c>
      <c r="AS7" s="13" t="s">
        <v>1</v>
      </c>
      <c r="AT7" s="6" t="str">
        <f>$A$3&amp;"."&amp;"IP1AI_CV"</f>
        <v>BXX_PRM1.IP1AI_CV</v>
      </c>
      <c r="AU7" s="13" t="s">
        <v>1</v>
      </c>
      <c r="AV7" s="6" t="str">
        <f>C7</f>
        <v>Location Power Monitor IP Address Seg. 1</v>
      </c>
      <c r="AW7" s="13">
        <v>0</v>
      </c>
      <c r="AX7" s="13">
        <v>0</v>
      </c>
      <c r="AY7" s="13">
        <v>0</v>
      </c>
      <c r="AZ7" s="13">
        <v>0</v>
      </c>
      <c r="BA7" s="13">
        <v>0</v>
      </c>
      <c r="BB7" s="13">
        <v>0</v>
      </c>
      <c r="BC7" s="13">
        <v>0</v>
      </c>
      <c r="BD7" s="13">
        <v>0</v>
      </c>
    </row>
    <row r="8" spans="1:64" x14ac:dyDescent="0.25">
      <c r="A8" s="6" t="str">
        <f>$A$3&amp;"_"&amp;"IP2"&amp;"_"&amp;"AI_CV"</f>
        <v>BXX_PRM1_IP2_AI_CV</v>
      </c>
      <c r="B8" s="6" t="str">
        <f t="shared" si="2"/>
        <v>BXX_PRM1</v>
      </c>
      <c r="C8" s="6" t="str">
        <f>$C$3 &amp; " IP Address Seg. 2"</f>
        <v>Location Power Monitor IP Address Seg. 2</v>
      </c>
      <c r="D8" s="4">
        <f t="shared" si="1"/>
        <v>40</v>
      </c>
      <c r="E8" s="14" t="s">
        <v>1</v>
      </c>
      <c r="F8" s="14" t="s">
        <v>1</v>
      </c>
      <c r="G8" s="14">
        <v>0</v>
      </c>
      <c r="H8" s="14" t="s">
        <v>0</v>
      </c>
      <c r="I8" s="14" t="s">
        <v>1</v>
      </c>
      <c r="J8" s="14">
        <v>0</v>
      </c>
      <c r="K8" s="14">
        <v>0</v>
      </c>
      <c r="L8" s="14"/>
      <c r="M8" s="14">
        <v>0</v>
      </c>
      <c r="N8" s="14">
        <v>0</v>
      </c>
      <c r="O8" s="14">
        <v>255</v>
      </c>
      <c r="P8" s="14">
        <v>0</v>
      </c>
      <c r="Q8" s="14">
        <v>0</v>
      </c>
      <c r="R8" s="14" t="s">
        <v>40</v>
      </c>
      <c r="S8" s="14">
        <v>0</v>
      </c>
      <c r="T8" s="14">
        <v>1</v>
      </c>
      <c r="U8" s="14" t="s">
        <v>40</v>
      </c>
      <c r="V8" s="14">
        <v>0</v>
      </c>
      <c r="W8" s="14">
        <v>1</v>
      </c>
      <c r="X8" s="14" t="s">
        <v>40</v>
      </c>
      <c r="Y8" s="14">
        <v>0</v>
      </c>
      <c r="Z8" s="14">
        <v>1</v>
      </c>
      <c r="AA8" s="14" t="s">
        <v>40</v>
      </c>
      <c r="AB8" s="14">
        <v>0</v>
      </c>
      <c r="AC8" s="14">
        <v>1</v>
      </c>
      <c r="AD8" s="14" t="s">
        <v>40</v>
      </c>
      <c r="AE8" s="14">
        <v>0</v>
      </c>
      <c r="AF8" s="14">
        <v>1</v>
      </c>
      <c r="AG8" s="14" t="s">
        <v>40</v>
      </c>
      <c r="AH8" s="14">
        <v>0</v>
      </c>
      <c r="AI8" s="14">
        <v>1</v>
      </c>
      <c r="AJ8" s="14">
        <v>0</v>
      </c>
      <c r="AK8" s="14" t="s">
        <v>40</v>
      </c>
      <c r="AL8" s="14">
        <v>0</v>
      </c>
      <c r="AM8" s="14">
        <v>1</v>
      </c>
      <c r="AN8" s="14" t="s">
        <v>98</v>
      </c>
      <c r="AO8" s="14">
        <v>0</v>
      </c>
      <c r="AP8" s="14">
        <v>255</v>
      </c>
      <c r="AQ8" s="14" t="s">
        <v>106</v>
      </c>
      <c r="AR8" s="6" t="s">
        <v>2</v>
      </c>
      <c r="AS8" s="14" t="s">
        <v>1</v>
      </c>
      <c r="AT8" s="6" t="str">
        <f>$A$3&amp;"."&amp;"IP2AI_CV"</f>
        <v>BXX_PRM1.IP2AI_CV</v>
      </c>
      <c r="AU8" s="14" t="s">
        <v>1</v>
      </c>
      <c r="AV8" s="6" t="str">
        <f>C8</f>
        <v>Location Power Monitor IP Address Seg. 2</v>
      </c>
      <c r="AW8" s="14">
        <v>0</v>
      </c>
      <c r="AX8" s="14">
        <v>0</v>
      </c>
      <c r="AY8" s="14">
        <v>0</v>
      </c>
      <c r="AZ8" s="14">
        <v>0</v>
      </c>
      <c r="BA8" s="14">
        <v>0</v>
      </c>
      <c r="BB8" s="14">
        <v>0</v>
      </c>
      <c r="BC8" s="14">
        <v>0</v>
      </c>
      <c r="BD8" s="14">
        <v>0</v>
      </c>
    </row>
    <row r="9" spans="1:64" x14ac:dyDescent="0.25">
      <c r="A9" s="6" t="str">
        <f>$A$3&amp;"_"&amp;"IP3"&amp;"_"&amp;"AI_CV"</f>
        <v>BXX_PRM1_IP3_AI_CV</v>
      </c>
      <c r="B9" s="6" t="str">
        <f t="shared" si="2"/>
        <v>BXX_PRM1</v>
      </c>
      <c r="C9" s="6" t="str">
        <f>$C$3 &amp; " IP Address Seg. 3"</f>
        <v>Location Power Monitor IP Address Seg. 3</v>
      </c>
      <c r="D9" s="4">
        <f t="shared" si="1"/>
        <v>40</v>
      </c>
      <c r="E9" s="15" t="s">
        <v>1</v>
      </c>
      <c r="F9" s="15" t="s">
        <v>1</v>
      </c>
      <c r="G9" s="15">
        <v>0</v>
      </c>
      <c r="H9" s="15" t="s">
        <v>0</v>
      </c>
      <c r="I9" s="15" t="s">
        <v>1</v>
      </c>
      <c r="J9" s="15">
        <v>0</v>
      </c>
      <c r="K9" s="15">
        <v>0</v>
      </c>
      <c r="L9" s="15"/>
      <c r="M9" s="15">
        <v>0</v>
      </c>
      <c r="N9" s="15">
        <v>0</v>
      </c>
      <c r="O9" s="15">
        <v>255</v>
      </c>
      <c r="P9" s="15">
        <v>0</v>
      </c>
      <c r="Q9" s="15">
        <v>0</v>
      </c>
      <c r="R9" s="15" t="s">
        <v>40</v>
      </c>
      <c r="S9" s="15">
        <v>0</v>
      </c>
      <c r="T9" s="15">
        <v>1</v>
      </c>
      <c r="U9" s="15" t="s">
        <v>40</v>
      </c>
      <c r="V9" s="15">
        <v>0</v>
      </c>
      <c r="W9" s="15">
        <v>1</v>
      </c>
      <c r="X9" s="15" t="s">
        <v>40</v>
      </c>
      <c r="Y9" s="15">
        <v>0</v>
      </c>
      <c r="Z9" s="15">
        <v>1</v>
      </c>
      <c r="AA9" s="15" t="s">
        <v>40</v>
      </c>
      <c r="AB9" s="15">
        <v>0</v>
      </c>
      <c r="AC9" s="15">
        <v>1</v>
      </c>
      <c r="AD9" s="15" t="s">
        <v>40</v>
      </c>
      <c r="AE9" s="15">
        <v>0</v>
      </c>
      <c r="AF9" s="15">
        <v>1</v>
      </c>
      <c r="AG9" s="15" t="s">
        <v>40</v>
      </c>
      <c r="AH9" s="15">
        <v>0</v>
      </c>
      <c r="AI9" s="15">
        <v>1</v>
      </c>
      <c r="AJ9" s="15">
        <v>0</v>
      </c>
      <c r="AK9" s="15" t="s">
        <v>40</v>
      </c>
      <c r="AL9" s="15">
        <v>0</v>
      </c>
      <c r="AM9" s="15">
        <v>1</v>
      </c>
      <c r="AN9" s="15" t="s">
        <v>98</v>
      </c>
      <c r="AO9" s="15">
        <v>0</v>
      </c>
      <c r="AP9" s="15">
        <v>255</v>
      </c>
      <c r="AQ9" s="15" t="s">
        <v>106</v>
      </c>
      <c r="AR9" s="6" t="s">
        <v>2</v>
      </c>
      <c r="AS9" s="15" t="s">
        <v>1</v>
      </c>
      <c r="AT9" s="6" t="str">
        <f>$A$3&amp;"."&amp;"IP3AI_CV"</f>
        <v>BXX_PRM1.IP3AI_CV</v>
      </c>
      <c r="AU9" s="15" t="s">
        <v>1</v>
      </c>
      <c r="AV9" s="6" t="str">
        <f>C9</f>
        <v>Location Power Monitor IP Address Seg. 3</v>
      </c>
      <c r="AW9" s="15">
        <v>0</v>
      </c>
      <c r="AX9" s="15">
        <v>0</v>
      </c>
      <c r="AY9" s="15">
        <v>0</v>
      </c>
      <c r="AZ9" s="15">
        <v>0</v>
      </c>
      <c r="BA9" s="15">
        <v>0</v>
      </c>
      <c r="BB9" s="15">
        <v>0</v>
      </c>
      <c r="BC9" s="15">
        <v>0</v>
      </c>
      <c r="BD9" s="15">
        <v>0</v>
      </c>
    </row>
    <row r="10" spans="1:64" x14ac:dyDescent="0.25">
      <c r="A10" s="6" t="str">
        <f>$A$3&amp;"_"&amp;"IP4"&amp;"_"&amp;"AI_CV"</f>
        <v>BXX_PRM1_IP4_AI_CV</v>
      </c>
      <c r="B10" s="6" t="str">
        <f t="shared" si="2"/>
        <v>BXX_PRM1</v>
      </c>
      <c r="C10" s="6" t="str">
        <f>$C$3 &amp; " IP Address Seg. 4"</f>
        <v>Location Power Monitor IP Address Seg. 4</v>
      </c>
      <c r="D10" s="4">
        <f t="shared" si="1"/>
        <v>40</v>
      </c>
      <c r="E10" s="15" t="s">
        <v>1</v>
      </c>
      <c r="F10" s="15" t="s">
        <v>1</v>
      </c>
      <c r="G10" s="15">
        <v>0</v>
      </c>
      <c r="H10" s="15" t="s">
        <v>0</v>
      </c>
      <c r="I10" s="15" t="s">
        <v>1</v>
      </c>
      <c r="J10" s="15">
        <v>0</v>
      </c>
      <c r="K10" s="15">
        <v>0</v>
      </c>
      <c r="L10" s="15"/>
      <c r="M10" s="15">
        <v>0</v>
      </c>
      <c r="N10" s="15">
        <v>0</v>
      </c>
      <c r="O10" s="15">
        <v>255</v>
      </c>
      <c r="P10" s="15">
        <v>0</v>
      </c>
      <c r="Q10" s="15">
        <v>0</v>
      </c>
      <c r="R10" s="15" t="s">
        <v>40</v>
      </c>
      <c r="S10" s="15">
        <v>0</v>
      </c>
      <c r="T10" s="15">
        <v>1</v>
      </c>
      <c r="U10" s="15" t="s">
        <v>40</v>
      </c>
      <c r="V10" s="15">
        <v>0</v>
      </c>
      <c r="W10" s="15">
        <v>1</v>
      </c>
      <c r="X10" s="15" t="s">
        <v>40</v>
      </c>
      <c r="Y10" s="15">
        <v>0</v>
      </c>
      <c r="Z10" s="15">
        <v>1</v>
      </c>
      <c r="AA10" s="15" t="s">
        <v>40</v>
      </c>
      <c r="AB10" s="15">
        <v>0</v>
      </c>
      <c r="AC10" s="15">
        <v>1</v>
      </c>
      <c r="AD10" s="15" t="s">
        <v>40</v>
      </c>
      <c r="AE10" s="15">
        <v>0</v>
      </c>
      <c r="AF10" s="15">
        <v>1</v>
      </c>
      <c r="AG10" s="15" t="s">
        <v>40</v>
      </c>
      <c r="AH10" s="15">
        <v>0</v>
      </c>
      <c r="AI10" s="15">
        <v>1</v>
      </c>
      <c r="AJ10" s="15">
        <v>0</v>
      </c>
      <c r="AK10" s="15" t="s">
        <v>40</v>
      </c>
      <c r="AL10" s="15">
        <v>0</v>
      </c>
      <c r="AM10" s="15">
        <v>1</v>
      </c>
      <c r="AN10" s="15" t="s">
        <v>98</v>
      </c>
      <c r="AO10" s="15">
        <v>0</v>
      </c>
      <c r="AP10" s="15">
        <v>255</v>
      </c>
      <c r="AQ10" s="15" t="s">
        <v>106</v>
      </c>
      <c r="AR10" s="6" t="s">
        <v>2</v>
      </c>
      <c r="AS10" s="15" t="s">
        <v>1</v>
      </c>
      <c r="AT10" s="6" t="str">
        <f>$A$3&amp;"."&amp;"IP4AI_CV"</f>
        <v>BXX_PRM1.IP4AI_CV</v>
      </c>
      <c r="AU10" s="15" t="s">
        <v>1</v>
      </c>
      <c r="AV10" s="6" t="str">
        <f>C10</f>
        <v>Location Power Monitor IP Address Seg. 4</v>
      </c>
      <c r="AW10" s="15">
        <v>0</v>
      </c>
      <c r="AX10" s="15">
        <v>0</v>
      </c>
      <c r="AY10" s="15">
        <v>0</v>
      </c>
      <c r="AZ10" s="15">
        <v>0</v>
      </c>
      <c r="BA10" s="15">
        <v>0</v>
      </c>
      <c r="BB10" s="15">
        <v>0</v>
      </c>
      <c r="BC10" s="15">
        <v>0</v>
      </c>
      <c r="BD10" s="15">
        <v>0</v>
      </c>
    </row>
    <row r="11" spans="1:64" x14ac:dyDescent="0.25">
      <c r="A11" s="6" t="str">
        <f>$A$3&amp;"_"&amp;"GW1"&amp;"_"&amp;"AI_CV"</f>
        <v>BXX_PRM1_GW1_AI_CV</v>
      </c>
      <c r="B11" s="6" t="str">
        <f t="shared" si="2"/>
        <v>BXX_PRM1</v>
      </c>
      <c r="C11" s="6" t="str">
        <f>$C$3 &amp; " Gateway Seg. 1"</f>
        <v>Location Power Monitor Gateway Seg. 1</v>
      </c>
      <c r="D11" s="4">
        <f t="shared" si="1"/>
        <v>37</v>
      </c>
      <c r="E11" s="12" t="s">
        <v>1</v>
      </c>
      <c r="F11" s="12" t="s">
        <v>1</v>
      </c>
      <c r="G11" s="12">
        <v>0</v>
      </c>
      <c r="H11" s="12" t="s">
        <v>0</v>
      </c>
      <c r="I11" s="12" t="s">
        <v>1</v>
      </c>
      <c r="J11" s="12">
        <v>0</v>
      </c>
      <c r="K11" s="12">
        <v>0</v>
      </c>
      <c r="L11" s="12"/>
      <c r="M11" s="12">
        <v>0</v>
      </c>
      <c r="N11" s="12">
        <v>0</v>
      </c>
      <c r="O11" s="12">
        <v>255</v>
      </c>
      <c r="P11" s="12">
        <v>0</v>
      </c>
      <c r="Q11" s="12">
        <v>0</v>
      </c>
      <c r="R11" s="12" t="s">
        <v>40</v>
      </c>
      <c r="S11" s="12">
        <v>0</v>
      </c>
      <c r="T11" s="12">
        <v>1</v>
      </c>
      <c r="U11" s="12" t="s">
        <v>40</v>
      </c>
      <c r="V11" s="12">
        <v>0</v>
      </c>
      <c r="W11" s="12">
        <v>1</v>
      </c>
      <c r="X11" s="12" t="s">
        <v>40</v>
      </c>
      <c r="Y11" s="12">
        <v>0</v>
      </c>
      <c r="Z11" s="12">
        <v>1</v>
      </c>
      <c r="AA11" s="12" t="s">
        <v>40</v>
      </c>
      <c r="AB11" s="12">
        <v>0</v>
      </c>
      <c r="AC11" s="12">
        <v>1</v>
      </c>
      <c r="AD11" s="12" t="s">
        <v>40</v>
      </c>
      <c r="AE11" s="12">
        <v>0</v>
      </c>
      <c r="AF11" s="12">
        <v>1</v>
      </c>
      <c r="AG11" s="12" t="s">
        <v>40</v>
      </c>
      <c r="AH11" s="12">
        <v>0</v>
      </c>
      <c r="AI11" s="12">
        <v>1</v>
      </c>
      <c r="AJ11" s="12">
        <v>0</v>
      </c>
      <c r="AK11" s="12" t="s">
        <v>40</v>
      </c>
      <c r="AL11" s="12">
        <v>0</v>
      </c>
      <c r="AM11" s="12">
        <v>1</v>
      </c>
      <c r="AN11" s="12" t="s">
        <v>98</v>
      </c>
      <c r="AO11" s="12">
        <v>0</v>
      </c>
      <c r="AP11" s="12">
        <v>255</v>
      </c>
      <c r="AQ11" s="12" t="s">
        <v>106</v>
      </c>
      <c r="AR11" s="6" t="s">
        <v>2</v>
      </c>
      <c r="AS11" s="12" t="s">
        <v>1</v>
      </c>
      <c r="AT11" s="6" t="str">
        <f>$A$3&amp;"."&amp;"GW1AI_CV"</f>
        <v>BXX_PRM1.GW1AI_CV</v>
      </c>
      <c r="AU11" s="12" t="s">
        <v>1</v>
      </c>
      <c r="AV11" s="6" t="str">
        <f t="shared" ref="AV11:AV45" si="3">C11</f>
        <v>Location Power Monitor Gateway Seg. 1</v>
      </c>
      <c r="AW11" s="12">
        <v>0</v>
      </c>
      <c r="AX11" s="12">
        <v>0</v>
      </c>
      <c r="AY11" s="12">
        <v>0</v>
      </c>
      <c r="AZ11" s="12">
        <v>0</v>
      </c>
      <c r="BA11" s="12">
        <v>0</v>
      </c>
      <c r="BB11" s="12">
        <v>0</v>
      </c>
      <c r="BC11" s="12">
        <v>0</v>
      </c>
      <c r="BD11" s="12">
        <v>0</v>
      </c>
    </row>
    <row r="12" spans="1:64" x14ac:dyDescent="0.25">
      <c r="A12" s="6" t="str">
        <f>$A$3&amp;"_"&amp;"GW2"&amp;"_"&amp;"AI_CV"</f>
        <v>BXX_PRM1_GW2_AI_CV</v>
      </c>
      <c r="B12" s="6" t="str">
        <f t="shared" si="2"/>
        <v>BXX_PRM1</v>
      </c>
      <c r="C12" s="6" t="str">
        <f>$C$3 &amp; " Gateway Seg. 2"</f>
        <v>Location Power Monitor Gateway Seg. 2</v>
      </c>
      <c r="D12" s="4">
        <f t="shared" ref="D12:D45" si="4">LEN(C12)</f>
        <v>37</v>
      </c>
      <c r="E12" s="13" t="s">
        <v>1</v>
      </c>
      <c r="F12" s="13" t="s">
        <v>1</v>
      </c>
      <c r="G12" s="13">
        <v>0</v>
      </c>
      <c r="H12" s="13" t="s">
        <v>0</v>
      </c>
      <c r="I12" s="13" t="s">
        <v>1</v>
      </c>
      <c r="J12" s="13">
        <v>0</v>
      </c>
      <c r="K12" s="13">
        <v>0</v>
      </c>
      <c r="L12" s="13"/>
      <c r="M12" s="13">
        <v>0</v>
      </c>
      <c r="N12" s="13">
        <v>0</v>
      </c>
      <c r="O12" s="13">
        <v>255</v>
      </c>
      <c r="P12" s="13">
        <v>0</v>
      </c>
      <c r="Q12" s="13">
        <v>0</v>
      </c>
      <c r="R12" s="13" t="s">
        <v>40</v>
      </c>
      <c r="S12" s="13">
        <v>0</v>
      </c>
      <c r="T12" s="13">
        <v>1</v>
      </c>
      <c r="U12" s="13" t="s">
        <v>40</v>
      </c>
      <c r="V12" s="13">
        <v>0</v>
      </c>
      <c r="W12" s="13">
        <v>1</v>
      </c>
      <c r="X12" s="13" t="s">
        <v>40</v>
      </c>
      <c r="Y12" s="13">
        <v>0</v>
      </c>
      <c r="Z12" s="13">
        <v>1</v>
      </c>
      <c r="AA12" s="13" t="s">
        <v>40</v>
      </c>
      <c r="AB12" s="13">
        <v>0</v>
      </c>
      <c r="AC12" s="13">
        <v>1</v>
      </c>
      <c r="AD12" s="13" t="s">
        <v>40</v>
      </c>
      <c r="AE12" s="13">
        <v>0</v>
      </c>
      <c r="AF12" s="13">
        <v>1</v>
      </c>
      <c r="AG12" s="13" t="s">
        <v>40</v>
      </c>
      <c r="AH12" s="13">
        <v>0</v>
      </c>
      <c r="AI12" s="13">
        <v>1</v>
      </c>
      <c r="AJ12" s="13">
        <v>0</v>
      </c>
      <c r="AK12" s="13" t="s">
        <v>40</v>
      </c>
      <c r="AL12" s="13">
        <v>0</v>
      </c>
      <c r="AM12" s="13">
        <v>1</v>
      </c>
      <c r="AN12" s="13" t="s">
        <v>98</v>
      </c>
      <c r="AO12" s="13">
        <v>0</v>
      </c>
      <c r="AP12" s="13">
        <v>255</v>
      </c>
      <c r="AQ12" s="13" t="s">
        <v>106</v>
      </c>
      <c r="AR12" s="6" t="s">
        <v>2</v>
      </c>
      <c r="AS12" s="13" t="s">
        <v>1</v>
      </c>
      <c r="AT12" s="6" t="str">
        <f>$A$3&amp;"."&amp;"GW2AI_CV"</f>
        <v>BXX_PRM1.GW2AI_CV</v>
      </c>
      <c r="AU12" s="13" t="s">
        <v>1</v>
      </c>
      <c r="AV12" s="6" t="str">
        <f t="shared" si="3"/>
        <v>Location Power Monitor Gateway Seg. 2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0</v>
      </c>
      <c r="BD12" s="13">
        <v>0</v>
      </c>
    </row>
    <row r="13" spans="1:64" x14ac:dyDescent="0.25">
      <c r="A13" s="6" t="str">
        <f>$A$3&amp;"_"&amp;"GW3"&amp;"_"&amp;"AI_CV"</f>
        <v>BXX_PRM1_GW3_AI_CV</v>
      </c>
      <c r="B13" s="6" t="str">
        <f t="shared" si="2"/>
        <v>BXX_PRM1</v>
      </c>
      <c r="C13" s="6" t="str">
        <f>$C$3 &amp; " Gateway Seg. 3"</f>
        <v>Location Power Monitor Gateway Seg. 3</v>
      </c>
      <c r="D13" s="4">
        <f t="shared" si="4"/>
        <v>37</v>
      </c>
      <c r="E13" s="13" t="s">
        <v>1</v>
      </c>
      <c r="F13" s="13" t="s">
        <v>1</v>
      </c>
      <c r="G13" s="13">
        <v>0</v>
      </c>
      <c r="H13" s="13" t="s">
        <v>0</v>
      </c>
      <c r="I13" s="13" t="s">
        <v>1</v>
      </c>
      <c r="J13" s="13">
        <v>0</v>
      </c>
      <c r="K13" s="13">
        <v>0</v>
      </c>
      <c r="L13" s="13"/>
      <c r="M13" s="13">
        <v>0</v>
      </c>
      <c r="N13" s="13">
        <v>0</v>
      </c>
      <c r="O13" s="13">
        <v>255</v>
      </c>
      <c r="P13" s="13">
        <v>0</v>
      </c>
      <c r="Q13" s="13">
        <v>0</v>
      </c>
      <c r="R13" s="13" t="s">
        <v>40</v>
      </c>
      <c r="S13" s="13">
        <v>0</v>
      </c>
      <c r="T13" s="13">
        <v>1</v>
      </c>
      <c r="U13" s="13" t="s">
        <v>40</v>
      </c>
      <c r="V13" s="13">
        <v>0</v>
      </c>
      <c r="W13" s="13">
        <v>1</v>
      </c>
      <c r="X13" s="13" t="s">
        <v>40</v>
      </c>
      <c r="Y13" s="13">
        <v>0</v>
      </c>
      <c r="Z13" s="13">
        <v>1</v>
      </c>
      <c r="AA13" s="13" t="s">
        <v>40</v>
      </c>
      <c r="AB13" s="13">
        <v>0</v>
      </c>
      <c r="AC13" s="13">
        <v>1</v>
      </c>
      <c r="AD13" s="13" t="s">
        <v>40</v>
      </c>
      <c r="AE13" s="13">
        <v>0</v>
      </c>
      <c r="AF13" s="13">
        <v>1</v>
      </c>
      <c r="AG13" s="13" t="s">
        <v>40</v>
      </c>
      <c r="AH13" s="13">
        <v>0</v>
      </c>
      <c r="AI13" s="13">
        <v>1</v>
      </c>
      <c r="AJ13" s="13">
        <v>0</v>
      </c>
      <c r="AK13" s="13" t="s">
        <v>40</v>
      </c>
      <c r="AL13" s="13">
        <v>0</v>
      </c>
      <c r="AM13" s="13">
        <v>1</v>
      </c>
      <c r="AN13" s="13" t="s">
        <v>98</v>
      </c>
      <c r="AO13" s="13">
        <v>0</v>
      </c>
      <c r="AP13" s="13">
        <v>255</v>
      </c>
      <c r="AQ13" s="13" t="s">
        <v>106</v>
      </c>
      <c r="AR13" s="6" t="s">
        <v>2</v>
      </c>
      <c r="AS13" s="13" t="s">
        <v>1</v>
      </c>
      <c r="AT13" s="6" t="str">
        <f>$A$3&amp;"."&amp;"GW3AI_CV"</f>
        <v>BXX_PRM1.GW3AI_CV</v>
      </c>
      <c r="AU13" s="13" t="s">
        <v>1</v>
      </c>
      <c r="AV13" s="6" t="str">
        <f t="shared" si="3"/>
        <v>Location Power Monitor Gateway Seg. 3</v>
      </c>
      <c r="AW13" s="13">
        <v>0</v>
      </c>
      <c r="AX13" s="13">
        <v>0</v>
      </c>
      <c r="AY13" s="13">
        <v>0</v>
      </c>
      <c r="AZ13" s="13">
        <v>0</v>
      </c>
      <c r="BA13" s="13">
        <v>0</v>
      </c>
      <c r="BB13" s="13">
        <v>0</v>
      </c>
      <c r="BC13" s="13">
        <v>0</v>
      </c>
      <c r="BD13" s="13">
        <v>0</v>
      </c>
    </row>
    <row r="14" spans="1:64" x14ac:dyDescent="0.25">
      <c r="A14" s="6" t="str">
        <f>$A$3&amp;"_"&amp;"GW4"&amp;"_"&amp;"AI_CV"</f>
        <v>BXX_PRM1_GW4_AI_CV</v>
      </c>
      <c r="B14" s="6" t="str">
        <f t="shared" si="2"/>
        <v>BXX_PRM1</v>
      </c>
      <c r="C14" s="6" t="str">
        <f>$C$3 &amp; " Gateway Seg. 4"</f>
        <v>Location Power Monitor Gateway Seg. 4</v>
      </c>
      <c r="D14" s="4">
        <f t="shared" si="4"/>
        <v>37</v>
      </c>
      <c r="E14" s="13" t="s">
        <v>1</v>
      </c>
      <c r="F14" s="13" t="s">
        <v>1</v>
      </c>
      <c r="G14" s="13">
        <v>0</v>
      </c>
      <c r="H14" s="13" t="s">
        <v>0</v>
      </c>
      <c r="I14" s="13" t="s">
        <v>1</v>
      </c>
      <c r="J14" s="13">
        <v>0</v>
      </c>
      <c r="K14" s="13">
        <v>0</v>
      </c>
      <c r="L14" s="13"/>
      <c r="M14" s="13">
        <v>0</v>
      </c>
      <c r="N14" s="13">
        <v>0</v>
      </c>
      <c r="O14" s="13">
        <v>255</v>
      </c>
      <c r="P14" s="13">
        <v>0</v>
      </c>
      <c r="Q14" s="13">
        <v>0</v>
      </c>
      <c r="R14" s="13" t="s">
        <v>40</v>
      </c>
      <c r="S14" s="13">
        <v>0</v>
      </c>
      <c r="T14" s="13">
        <v>1</v>
      </c>
      <c r="U14" s="13" t="s">
        <v>40</v>
      </c>
      <c r="V14" s="13">
        <v>0</v>
      </c>
      <c r="W14" s="13">
        <v>1</v>
      </c>
      <c r="X14" s="13" t="s">
        <v>40</v>
      </c>
      <c r="Y14" s="13">
        <v>0</v>
      </c>
      <c r="Z14" s="13">
        <v>1</v>
      </c>
      <c r="AA14" s="13" t="s">
        <v>40</v>
      </c>
      <c r="AB14" s="13">
        <v>0</v>
      </c>
      <c r="AC14" s="13">
        <v>1</v>
      </c>
      <c r="AD14" s="13" t="s">
        <v>40</v>
      </c>
      <c r="AE14" s="13">
        <v>0</v>
      </c>
      <c r="AF14" s="13">
        <v>1</v>
      </c>
      <c r="AG14" s="13" t="s">
        <v>40</v>
      </c>
      <c r="AH14" s="13">
        <v>0</v>
      </c>
      <c r="AI14" s="13">
        <v>1</v>
      </c>
      <c r="AJ14" s="13">
        <v>0</v>
      </c>
      <c r="AK14" s="13" t="s">
        <v>40</v>
      </c>
      <c r="AL14" s="13">
        <v>0</v>
      </c>
      <c r="AM14" s="13">
        <v>1</v>
      </c>
      <c r="AN14" s="13" t="s">
        <v>98</v>
      </c>
      <c r="AO14" s="13">
        <v>0</v>
      </c>
      <c r="AP14" s="13">
        <v>255</v>
      </c>
      <c r="AQ14" s="13" t="s">
        <v>106</v>
      </c>
      <c r="AR14" s="6" t="s">
        <v>2</v>
      </c>
      <c r="AS14" s="13" t="s">
        <v>1</v>
      </c>
      <c r="AT14" s="6" t="str">
        <f>$A$3&amp;"."&amp;"GW4AI_CV"</f>
        <v>BXX_PRM1.GW4AI_CV</v>
      </c>
      <c r="AU14" s="13" t="s">
        <v>1</v>
      </c>
      <c r="AV14" s="6" t="str">
        <f t="shared" si="3"/>
        <v>Location Power Monitor Gateway Seg. 4</v>
      </c>
      <c r="AW14" s="13">
        <v>0</v>
      </c>
      <c r="AX14" s="13">
        <v>0</v>
      </c>
      <c r="AY14" s="13">
        <v>0</v>
      </c>
      <c r="AZ14" s="13">
        <v>0</v>
      </c>
      <c r="BA14" s="13">
        <v>0</v>
      </c>
      <c r="BB14" s="13">
        <v>0</v>
      </c>
      <c r="BC14" s="13">
        <v>0</v>
      </c>
      <c r="BD14" s="13">
        <v>0</v>
      </c>
    </row>
    <row r="15" spans="1:64" x14ac:dyDescent="0.25">
      <c r="A15" s="6" t="str">
        <f>$A$3&amp;"_"&amp;"SM1"&amp;"_"&amp;"AI_CV"</f>
        <v>BXX_PRM1_SM1_AI_CV</v>
      </c>
      <c r="B15" s="6" t="str">
        <f t="shared" si="2"/>
        <v>BXX_PRM1</v>
      </c>
      <c r="C15" s="6" t="str">
        <f>$C$3 &amp; " Subnet Mask Seg. 1"</f>
        <v>Location Power Monitor Subnet Mask Seg. 1</v>
      </c>
      <c r="D15" s="4">
        <f t="shared" si="4"/>
        <v>41</v>
      </c>
      <c r="E15" s="15" t="s">
        <v>1</v>
      </c>
      <c r="F15" s="15" t="s">
        <v>1</v>
      </c>
      <c r="G15" s="15">
        <v>0</v>
      </c>
      <c r="H15" s="15" t="s">
        <v>0</v>
      </c>
      <c r="I15" s="15" t="s">
        <v>1</v>
      </c>
      <c r="J15" s="15">
        <v>0</v>
      </c>
      <c r="K15" s="15">
        <v>0</v>
      </c>
      <c r="L15" s="15"/>
      <c r="M15" s="15">
        <v>0</v>
      </c>
      <c r="N15" s="15">
        <v>0</v>
      </c>
      <c r="O15" s="15">
        <v>255</v>
      </c>
      <c r="P15" s="15">
        <v>0</v>
      </c>
      <c r="Q15" s="15">
        <v>0</v>
      </c>
      <c r="R15" s="15" t="s">
        <v>40</v>
      </c>
      <c r="S15" s="15">
        <v>0</v>
      </c>
      <c r="T15" s="15">
        <v>1</v>
      </c>
      <c r="U15" s="15" t="s">
        <v>40</v>
      </c>
      <c r="V15" s="15">
        <v>0</v>
      </c>
      <c r="W15" s="15">
        <v>1</v>
      </c>
      <c r="X15" s="15" t="s">
        <v>40</v>
      </c>
      <c r="Y15" s="15">
        <v>0</v>
      </c>
      <c r="Z15" s="15">
        <v>1</v>
      </c>
      <c r="AA15" s="15" t="s">
        <v>40</v>
      </c>
      <c r="AB15" s="15">
        <v>0</v>
      </c>
      <c r="AC15" s="15">
        <v>1</v>
      </c>
      <c r="AD15" s="15" t="s">
        <v>40</v>
      </c>
      <c r="AE15" s="15">
        <v>0</v>
      </c>
      <c r="AF15" s="15">
        <v>1</v>
      </c>
      <c r="AG15" s="15" t="s">
        <v>40</v>
      </c>
      <c r="AH15" s="15">
        <v>0</v>
      </c>
      <c r="AI15" s="15">
        <v>1</v>
      </c>
      <c r="AJ15" s="15">
        <v>0</v>
      </c>
      <c r="AK15" s="15" t="s">
        <v>40</v>
      </c>
      <c r="AL15" s="15">
        <v>0</v>
      </c>
      <c r="AM15" s="15">
        <v>1</v>
      </c>
      <c r="AN15" s="15" t="s">
        <v>98</v>
      </c>
      <c r="AO15" s="15">
        <v>0</v>
      </c>
      <c r="AP15" s="15">
        <v>255</v>
      </c>
      <c r="AQ15" s="15" t="s">
        <v>106</v>
      </c>
      <c r="AR15" s="6" t="s">
        <v>2</v>
      </c>
      <c r="AS15" s="15" t="s">
        <v>1</v>
      </c>
      <c r="AT15" s="6" t="str">
        <f>$A$3&amp;"."&amp;"SM1AI_CV"</f>
        <v>BXX_PRM1.SM1AI_CV</v>
      </c>
      <c r="AU15" s="15" t="s">
        <v>1</v>
      </c>
      <c r="AV15" s="6" t="str">
        <f t="shared" si="3"/>
        <v>Location Power Monitor Subnet Mask Seg. 1</v>
      </c>
      <c r="AW15" s="15">
        <v>0</v>
      </c>
      <c r="AX15" s="15">
        <v>0</v>
      </c>
      <c r="AY15" s="15">
        <v>0</v>
      </c>
      <c r="AZ15" s="15">
        <v>0</v>
      </c>
      <c r="BA15" s="15">
        <v>0</v>
      </c>
      <c r="BB15" s="15">
        <v>0</v>
      </c>
      <c r="BC15" s="15">
        <v>0</v>
      </c>
      <c r="BD15" s="15">
        <v>0</v>
      </c>
    </row>
    <row r="16" spans="1:64" x14ac:dyDescent="0.25">
      <c r="A16" s="6" t="str">
        <f>$A$3&amp;"_"&amp;"SM2"&amp;"_"&amp;"AI_CV"</f>
        <v>BXX_PRM1_SM2_AI_CV</v>
      </c>
      <c r="B16" s="6" t="str">
        <f t="shared" si="2"/>
        <v>BXX_PRM1</v>
      </c>
      <c r="C16" s="6" t="str">
        <f>$C$3 &amp; " Subnet Mask Seg. 2"</f>
        <v>Location Power Monitor Subnet Mask Seg. 2</v>
      </c>
      <c r="D16" s="4">
        <f t="shared" si="4"/>
        <v>41</v>
      </c>
      <c r="E16" s="16" t="s">
        <v>1</v>
      </c>
      <c r="F16" s="16" t="s">
        <v>1</v>
      </c>
      <c r="G16" s="16">
        <v>0</v>
      </c>
      <c r="H16" s="16" t="s">
        <v>0</v>
      </c>
      <c r="I16" s="16" t="s">
        <v>1</v>
      </c>
      <c r="J16" s="16">
        <v>0</v>
      </c>
      <c r="K16" s="16">
        <v>0</v>
      </c>
      <c r="L16" s="16"/>
      <c r="M16" s="16">
        <v>0</v>
      </c>
      <c r="N16" s="16">
        <v>0</v>
      </c>
      <c r="O16" s="16">
        <v>255</v>
      </c>
      <c r="P16" s="16">
        <v>0</v>
      </c>
      <c r="Q16" s="16">
        <v>0</v>
      </c>
      <c r="R16" s="16" t="s">
        <v>40</v>
      </c>
      <c r="S16" s="16">
        <v>0</v>
      </c>
      <c r="T16" s="16">
        <v>1</v>
      </c>
      <c r="U16" s="16" t="s">
        <v>40</v>
      </c>
      <c r="V16" s="16">
        <v>0</v>
      </c>
      <c r="W16" s="16">
        <v>1</v>
      </c>
      <c r="X16" s="16" t="s">
        <v>40</v>
      </c>
      <c r="Y16" s="16">
        <v>0</v>
      </c>
      <c r="Z16" s="16">
        <v>1</v>
      </c>
      <c r="AA16" s="16" t="s">
        <v>40</v>
      </c>
      <c r="AB16" s="16">
        <v>0</v>
      </c>
      <c r="AC16" s="16">
        <v>1</v>
      </c>
      <c r="AD16" s="16" t="s">
        <v>40</v>
      </c>
      <c r="AE16" s="16">
        <v>0</v>
      </c>
      <c r="AF16" s="16">
        <v>1</v>
      </c>
      <c r="AG16" s="16" t="s">
        <v>40</v>
      </c>
      <c r="AH16" s="16">
        <v>0</v>
      </c>
      <c r="AI16" s="16">
        <v>1</v>
      </c>
      <c r="AJ16" s="16">
        <v>0</v>
      </c>
      <c r="AK16" s="16" t="s">
        <v>40</v>
      </c>
      <c r="AL16" s="16">
        <v>0</v>
      </c>
      <c r="AM16" s="16">
        <v>1</v>
      </c>
      <c r="AN16" s="16" t="s">
        <v>98</v>
      </c>
      <c r="AO16" s="16">
        <v>0</v>
      </c>
      <c r="AP16" s="16">
        <v>255</v>
      </c>
      <c r="AQ16" s="16" t="s">
        <v>106</v>
      </c>
      <c r="AR16" s="6" t="s">
        <v>2</v>
      </c>
      <c r="AS16" s="16" t="s">
        <v>1</v>
      </c>
      <c r="AT16" s="6" t="str">
        <f>$A$3&amp;"."&amp;"SM2AI_CV"</f>
        <v>BXX_PRM1.SM2AI_CV</v>
      </c>
      <c r="AU16" s="16" t="s">
        <v>1</v>
      </c>
      <c r="AV16" s="6" t="str">
        <f t="shared" si="3"/>
        <v>Location Power Monitor Subnet Mask Seg. 2</v>
      </c>
      <c r="AW16" s="16">
        <v>0</v>
      </c>
      <c r="AX16" s="16">
        <v>0</v>
      </c>
      <c r="AY16" s="16">
        <v>0</v>
      </c>
      <c r="AZ16" s="16">
        <v>0</v>
      </c>
      <c r="BA16" s="16">
        <v>0</v>
      </c>
      <c r="BB16" s="16">
        <v>0</v>
      </c>
      <c r="BC16" s="16">
        <v>0</v>
      </c>
      <c r="BD16" s="16">
        <v>0</v>
      </c>
    </row>
    <row r="17" spans="1:64" x14ac:dyDescent="0.25">
      <c r="A17" s="6" t="str">
        <f>$A$3&amp;"_"&amp;"MS3"&amp;"_"&amp;"AI_CV"</f>
        <v>BXX_PRM1_MS3_AI_CV</v>
      </c>
      <c r="B17" s="6" t="str">
        <f t="shared" si="2"/>
        <v>BXX_PRM1</v>
      </c>
      <c r="C17" s="6" t="str">
        <f>$C$3 &amp; " Subnet Mask Seg. 3"</f>
        <v>Location Power Monitor Subnet Mask Seg. 3</v>
      </c>
      <c r="D17" s="4">
        <f t="shared" si="4"/>
        <v>41</v>
      </c>
      <c r="E17" s="16" t="s">
        <v>1</v>
      </c>
      <c r="F17" s="16" t="s">
        <v>1</v>
      </c>
      <c r="G17" s="16">
        <v>0</v>
      </c>
      <c r="H17" s="16" t="s">
        <v>0</v>
      </c>
      <c r="I17" s="16" t="s">
        <v>1</v>
      </c>
      <c r="J17" s="16">
        <v>0</v>
      </c>
      <c r="K17" s="16">
        <v>0</v>
      </c>
      <c r="L17" s="16"/>
      <c r="M17" s="16">
        <v>0</v>
      </c>
      <c r="N17" s="16">
        <v>0</v>
      </c>
      <c r="O17" s="16">
        <v>255</v>
      </c>
      <c r="P17" s="16">
        <v>0</v>
      </c>
      <c r="Q17" s="16">
        <v>0</v>
      </c>
      <c r="R17" s="16" t="s">
        <v>40</v>
      </c>
      <c r="S17" s="16">
        <v>0</v>
      </c>
      <c r="T17" s="16">
        <v>1</v>
      </c>
      <c r="U17" s="16" t="s">
        <v>40</v>
      </c>
      <c r="V17" s="16">
        <v>0</v>
      </c>
      <c r="W17" s="16">
        <v>1</v>
      </c>
      <c r="X17" s="16" t="s">
        <v>40</v>
      </c>
      <c r="Y17" s="16">
        <v>0</v>
      </c>
      <c r="Z17" s="16">
        <v>1</v>
      </c>
      <c r="AA17" s="16" t="s">
        <v>40</v>
      </c>
      <c r="AB17" s="16">
        <v>0</v>
      </c>
      <c r="AC17" s="16">
        <v>1</v>
      </c>
      <c r="AD17" s="16" t="s">
        <v>40</v>
      </c>
      <c r="AE17" s="16">
        <v>0</v>
      </c>
      <c r="AF17" s="16">
        <v>1</v>
      </c>
      <c r="AG17" s="16" t="s">
        <v>40</v>
      </c>
      <c r="AH17" s="16">
        <v>0</v>
      </c>
      <c r="AI17" s="16">
        <v>1</v>
      </c>
      <c r="AJ17" s="16">
        <v>0</v>
      </c>
      <c r="AK17" s="16" t="s">
        <v>40</v>
      </c>
      <c r="AL17" s="16">
        <v>0</v>
      </c>
      <c r="AM17" s="16">
        <v>1</v>
      </c>
      <c r="AN17" s="16" t="s">
        <v>98</v>
      </c>
      <c r="AO17" s="16">
        <v>0</v>
      </c>
      <c r="AP17" s="16">
        <v>255</v>
      </c>
      <c r="AQ17" s="16" t="s">
        <v>106</v>
      </c>
      <c r="AR17" s="6" t="s">
        <v>2</v>
      </c>
      <c r="AS17" s="16" t="s">
        <v>1</v>
      </c>
      <c r="AT17" s="6" t="str">
        <f>$A$3&amp;"."&amp;"MS3AI_CV"</f>
        <v>BXX_PRM1.MS3AI_CV</v>
      </c>
      <c r="AU17" s="16" t="s">
        <v>1</v>
      </c>
      <c r="AV17" s="6" t="str">
        <f t="shared" si="3"/>
        <v>Location Power Monitor Subnet Mask Seg. 3</v>
      </c>
      <c r="AW17" s="16">
        <v>0</v>
      </c>
      <c r="AX17" s="16">
        <v>0</v>
      </c>
      <c r="AY17" s="16">
        <v>0</v>
      </c>
      <c r="AZ17" s="16">
        <v>0</v>
      </c>
      <c r="BA17" s="16">
        <v>0</v>
      </c>
      <c r="BB17" s="16">
        <v>0</v>
      </c>
      <c r="BC17" s="16">
        <v>0</v>
      </c>
      <c r="BD17" s="16">
        <v>0</v>
      </c>
    </row>
    <row r="18" spans="1:64" x14ac:dyDescent="0.25">
      <c r="A18" s="6" t="str">
        <f>$A$3&amp;"_"&amp;"SM4"&amp;"_"&amp;"AI_CV"</f>
        <v>BXX_PRM1_SM4_AI_CV</v>
      </c>
      <c r="B18" s="6" t="str">
        <f t="shared" si="2"/>
        <v>BXX_PRM1</v>
      </c>
      <c r="C18" s="6" t="str">
        <f>$C$3 &amp; " Subnet Mask Seg. 4"</f>
        <v>Location Power Monitor Subnet Mask Seg. 4</v>
      </c>
      <c r="D18" s="4">
        <f t="shared" si="4"/>
        <v>41</v>
      </c>
      <c r="E18" s="17" t="s">
        <v>1</v>
      </c>
      <c r="F18" s="17" t="s">
        <v>1</v>
      </c>
      <c r="G18" s="17">
        <v>0</v>
      </c>
      <c r="H18" s="17" t="s">
        <v>0</v>
      </c>
      <c r="I18" s="17" t="s">
        <v>1</v>
      </c>
      <c r="J18" s="17">
        <v>0</v>
      </c>
      <c r="K18" s="17">
        <v>0</v>
      </c>
      <c r="L18" s="17"/>
      <c r="M18" s="17">
        <v>0</v>
      </c>
      <c r="N18" s="17">
        <v>0</v>
      </c>
      <c r="O18" s="17">
        <v>255</v>
      </c>
      <c r="P18" s="17">
        <v>0</v>
      </c>
      <c r="Q18" s="17">
        <v>0</v>
      </c>
      <c r="R18" s="17" t="s">
        <v>40</v>
      </c>
      <c r="S18" s="17">
        <v>0</v>
      </c>
      <c r="T18" s="17">
        <v>1</v>
      </c>
      <c r="U18" s="17" t="s">
        <v>40</v>
      </c>
      <c r="V18" s="17">
        <v>0</v>
      </c>
      <c r="W18" s="17">
        <v>1</v>
      </c>
      <c r="X18" s="17" t="s">
        <v>40</v>
      </c>
      <c r="Y18" s="17">
        <v>0</v>
      </c>
      <c r="Z18" s="17">
        <v>1</v>
      </c>
      <c r="AA18" s="17" t="s">
        <v>40</v>
      </c>
      <c r="AB18" s="17">
        <v>0</v>
      </c>
      <c r="AC18" s="17">
        <v>1</v>
      </c>
      <c r="AD18" s="17" t="s">
        <v>40</v>
      </c>
      <c r="AE18" s="17">
        <v>0</v>
      </c>
      <c r="AF18" s="17">
        <v>1</v>
      </c>
      <c r="AG18" s="17" t="s">
        <v>40</v>
      </c>
      <c r="AH18" s="17">
        <v>0</v>
      </c>
      <c r="AI18" s="17">
        <v>1</v>
      </c>
      <c r="AJ18" s="17">
        <v>0</v>
      </c>
      <c r="AK18" s="17" t="s">
        <v>40</v>
      </c>
      <c r="AL18" s="17">
        <v>0</v>
      </c>
      <c r="AM18" s="17">
        <v>1</v>
      </c>
      <c r="AN18" s="17" t="s">
        <v>98</v>
      </c>
      <c r="AO18" s="17">
        <v>0</v>
      </c>
      <c r="AP18" s="17">
        <v>255</v>
      </c>
      <c r="AQ18" s="17" t="s">
        <v>106</v>
      </c>
      <c r="AR18" s="6" t="s">
        <v>2</v>
      </c>
      <c r="AS18" s="17" t="s">
        <v>1</v>
      </c>
      <c r="AT18" s="6" t="str">
        <f>$A$3&amp;"."&amp;"SM4AI_CV"</f>
        <v>BXX_PRM1.SM4AI_CV</v>
      </c>
      <c r="AU18" s="17" t="s">
        <v>1</v>
      </c>
      <c r="AV18" s="6" t="str">
        <f t="shared" si="3"/>
        <v>Location Power Monitor Subnet Mask Seg. 4</v>
      </c>
      <c r="AW18" s="17">
        <v>0</v>
      </c>
      <c r="AX18" s="17">
        <v>0</v>
      </c>
      <c r="AY18" s="17">
        <v>0</v>
      </c>
      <c r="AZ18" s="17">
        <v>0</v>
      </c>
      <c r="BA18" s="17">
        <v>0</v>
      </c>
      <c r="BB18" s="17">
        <v>0</v>
      </c>
      <c r="BC18" s="17">
        <v>0</v>
      </c>
      <c r="BD18" s="17">
        <v>0</v>
      </c>
    </row>
    <row r="19" spans="1:64" x14ac:dyDescent="0.25">
      <c r="A19" s="18" t="s">
        <v>107</v>
      </c>
      <c r="B19" s="18" t="s">
        <v>4</v>
      </c>
      <c r="C19" s="18" t="s">
        <v>5</v>
      </c>
      <c r="D19" s="4">
        <f t="shared" si="4"/>
        <v>7</v>
      </c>
      <c r="E19" s="18" t="s">
        <v>30</v>
      </c>
      <c r="F19" s="18" t="s">
        <v>6</v>
      </c>
      <c r="G19" s="18" t="s">
        <v>7</v>
      </c>
      <c r="H19" s="18" t="s">
        <v>31</v>
      </c>
      <c r="I19" s="18" t="s">
        <v>66</v>
      </c>
      <c r="J19" s="18" t="s">
        <v>67</v>
      </c>
      <c r="K19" s="18" t="s">
        <v>68</v>
      </c>
      <c r="L19" s="18" t="s">
        <v>69</v>
      </c>
      <c r="M19" s="18" t="s">
        <v>70</v>
      </c>
      <c r="N19" s="18" t="s">
        <v>101</v>
      </c>
      <c r="O19" s="18" t="s">
        <v>102</v>
      </c>
      <c r="P19" s="18" t="s">
        <v>73</v>
      </c>
      <c r="Q19" s="18" t="s">
        <v>74</v>
      </c>
      <c r="R19" s="18" t="s">
        <v>75</v>
      </c>
      <c r="S19" s="18" t="s">
        <v>76</v>
      </c>
      <c r="T19" s="18" t="s">
        <v>77</v>
      </c>
      <c r="U19" s="18" t="s">
        <v>78</v>
      </c>
      <c r="V19" s="18" t="s">
        <v>79</v>
      </c>
      <c r="W19" s="18" t="s">
        <v>80</v>
      </c>
      <c r="X19" s="18" t="s">
        <v>81</v>
      </c>
      <c r="Y19" s="18" t="s">
        <v>82</v>
      </c>
      <c r="Z19" s="18" t="s">
        <v>83</v>
      </c>
      <c r="AA19" s="18" t="s">
        <v>84</v>
      </c>
      <c r="AB19" s="18" t="s">
        <v>85</v>
      </c>
      <c r="AC19" s="18" t="s">
        <v>86</v>
      </c>
      <c r="AD19" s="18" t="s">
        <v>87</v>
      </c>
      <c r="AE19" s="18" t="s">
        <v>88</v>
      </c>
      <c r="AF19" s="18" t="s">
        <v>89</v>
      </c>
      <c r="AG19" s="18" t="s">
        <v>90</v>
      </c>
      <c r="AH19" s="18" t="s">
        <v>91</v>
      </c>
      <c r="AI19" s="18" t="s">
        <v>92</v>
      </c>
      <c r="AJ19" s="18" t="s">
        <v>93</v>
      </c>
      <c r="AK19" s="18" t="s">
        <v>94</v>
      </c>
      <c r="AL19" s="18" t="s">
        <v>95</v>
      </c>
      <c r="AM19" s="18" t="s">
        <v>96</v>
      </c>
      <c r="AN19" s="18" t="s">
        <v>97</v>
      </c>
      <c r="AO19" s="18" t="s">
        <v>103</v>
      </c>
      <c r="AP19" s="18" t="s">
        <v>104</v>
      </c>
      <c r="AQ19" s="18" t="s">
        <v>105</v>
      </c>
      <c r="AR19" s="18" t="s">
        <v>45</v>
      </c>
      <c r="AS19" s="18" t="s">
        <v>46</v>
      </c>
      <c r="AT19" s="18" t="s">
        <v>47</v>
      </c>
      <c r="AU19" s="18" t="s">
        <v>48</v>
      </c>
      <c r="AV19" s="18" t="s">
        <v>37</v>
      </c>
      <c r="AW19" s="18" t="s">
        <v>38</v>
      </c>
      <c r="AX19" s="18" t="s">
        <v>8</v>
      </c>
      <c r="AY19" s="18" t="s">
        <v>9</v>
      </c>
      <c r="AZ19" s="18" t="s">
        <v>10</v>
      </c>
      <c r="BA19" s="18" t="s">
        <v>11</v>
      </c>
      <c r="BB19" s="18" t="s">
        <v>12</v>
      </c>
      <c r="BC19" s="18" t="s">
        <v>13</v>
      </c>
      <c r="BD19" s="18" t="s">
        <v>14</v>
      </c>
      <c r="BE19" s="18" t="s">
        <v>16</v>
      </c>
      <c r="BF19" s="18" t="s">
        <v>17</v>
      </c>
      <c r="BG19" s="18" t="s">
        <v>18</v>
      </c>
      <c r="BH19" s="18" t="s">
        <v>19</v>
      </c>
      <c r="BI19" s="18" t="s">
        <v>20</v>
      </c>
      <c r="BJ19" s="18" t="s">
        <v>21</v>
      </c>
      <c r="BK19" s="18" t="s">
        <v>22</v>
      </c>
      <c r="BL19" s="18" t="s">
        <v>39</v>
      </c>
    </row>
    <row r="20" spans="1:64" x14ac:dyDescent="0.25">
      <c r="A20" s="6" t="str">
        <f>$A$3&amp;"_"&amp;"II1"&amp;"_"&amp;"AI_CV"</f>
        <v>BXX_PRM1_II1_AI_CV</v>
      </c>
      <c r="B20" s="6" t="str">
        <f t="shared" si="2"/>
        <v>BXX_PRM1</v>
      </c>
      <c r="C20" s="6" t="str">
        <f>$C$3 &amp; " L1 Current"</f>
        <v>Location Power Monitor L1 Current</v>
      </c>
      <c r="D20" s="4">
        <f t="shared" ref="D20:D28" si="5">LEN(C20)</f>
        <v>33</v>
      </c>
      <c r="E20" s="25" t="s">
        <v>0</v>
      </c>
      <c r="F20" s="25" t="s">
        <v>1</v>
      </c>
      <c r="G20" s="25">
        <v>0</v>
      </c>
      <c r="H20" s="25" t="s">
        <v>0</v>
      </c>
      <c r="I20" s="25" t="s">
        <v>1</v>
      </c>
      <c r="J20" s="25">
        <v>0</v>
      </c>
      <c r="K20" s="25">
        <v>0</v>
      </c>
      <c r="L20" s="25" t="s">
        <v>139</v>
      </c>
      <c r="M20" s="196">
        <v>0</v>
      </c>
      <c r="N20" s="25">
        <v>0</v>
      </c>
      <c r="O20" s="36">
        <v>1.00000003E+16</v>
      </c>
      <c r="P20" s="25">
        <v>0</v>
      </c>
      <c r="Q20" s="25">
        <v>0.1</v>
      </c>
      <c r="R20" s="25" t="s">
        <v>40</v>
      </c>
      <c r="S20" s="25">
        <v>0</v>
      </c>
      <c r="T20" s="25">
        <v>1</v>
      </c>
      <c r="U20" s="25" t="s">
        <v>40</v>
      </c>
      <c r="V20" s="25">
        <v>0</v>
      </c>
      <c r="W20" s="25">
        <v>1</v>
      </c>
      <c r="X20" s="25" t="s">
        <v>40</v>
      </c>
      <c r="Y20" s="25">
        <v>0</v>
      </c>
      <c r="Z20" s="25">
        <v>1</v>
      </c>
      <c r="AA20" s="25" t="s">
        <v>40</v>
      </c>
      <c r="AB20" s="25">
        <v>0</v>
      </c>
      <c r="AC20" s="25">
        <v>1</v>
      </c>
      <c r="AD20" s="25" t="s">
        <v>40</v>
      </c>
      <c r="AE20" s="25">
        <v>0</v>
      </c>
      <c r="AF20" s="25">
        <v>1</v>
      </c>
      <c r="AG20" s="25" t="s">
        <v>40</v>
      </c>
      <c r="AH20" s="25">
        <v>0</v>
      </c>
      <c r="AI20" s="25">
        <v>1</v>
      </c>
      <c r="AJ20" s="25">
        <v>0</v>
      </c>
      <c r="AK20" s="25" t="s">
        <v>40</v>
      </c>
      <c r="AL20" s="25">
        <v>0</v>
      </c>
      <c r="AM20" s="25">
        <v>1</v>
      </c>
      <c r="AN20" s="25" t="s">
        <v>98</v>
      </c>
      <c r="AO20" s="25">
        <v>0</v>
      </c>
      <c r="AP20" s="36">
        <v>1.00000003E+16</v>
      </c>
      <c r="AQ20" s="25" t="s">
        <v>106</v>
      </c>
      <c r="AR20" s="6" t="s">
        <v>2</v>
      </c>
      <c r="AS20" s="25" t="s">
        <v>1</v>
      </c>
      <c r="AT20" s="6" t="str">
        <f>$A$3&amp;"."&amp;"II1AI_CV"</f>
        <v>BXX_PRM1.II1AI_CV</v>
      </c>
      <c r="AU20" s="25" t="s">
        <v>1</v>
      </c>
      <c r="AV20" s="6" t="str">
        <f t="shared" ref="AV20:AV28" si="6">C20</f>
        <v>Location Power Monitor L1 Current</v>
      </c>
      <c r="AW20" s="25">
        <v>0</v>
      </c>
      <c r="AX20" s="25">
        <v>0</v>
      </c>
      <c r="AY20" s="25">
        <v>0</v>
      </c>
      <c r="AZ20" s="25">
        <v>0</v>
      </c>
      <c r="BA20" s="25">
        <v>0</v>
      </c>
      <c r="BB20" s="25">
        <v>0</v>
      </c>
      <c r="BC20" s="25">
        <v>0</v>
      </c>
      <c r="BD20" s="25">
        <v>0</v>
      </c>
    </row>
    <row r="21" spans="1:64" x14ac:dyDescent="0.25">
      <c r="A21" s="6" t="str">
        <f>$A$3&amp;"_"&amp;"II2"&amp;"_"&amp;"AI_CV"</f>
        <v>BXX_PRM1_II2_AI_CV</v>
      </c>
      <c r="B21" s="6" t="str">
        <f t="shared" si="2"/>
        <v>BXX_PRM1</v>
      </c>
      <c r="C21" s="6" t="str">
        <f>$C$3 &amp; " L2 Current"</f>
        <v>Location Power Monitor L2 Current</v>
      </c>
      <c r="D21" s="4">
        <f t="shared" si="5"/>
        <v>33</v>
      </c>
      <c r="E21" s="25" t="s">
        <v>0</v>
      </c>
      <c r="F21" s="25" t="s">
        <v>1</v>
      </c>
      <c r="G21" s="25">
        <v>0</v>
      </c>
      <c r="H21" s="25" t="s">
        <v>0</v>
      </c>
      <c r="I21" s="25" t="s">
        <v>1</v>
      </c>
      <c r="J21" s="25">
        <v>0</v>
      </c>
      <c r="K21" s="25">
        <v>0</v>
      </c>
      <c r="L21" s="25" t="s">
        <v>139</v>
      </c>
      <c r="M21" s="196">
        <v>0</v>
      </c>
      <c r="N21" s="35">
        <v>0</v>
      </c>
      <c r="O21" s="26">
        <v>1.00000003E+16</v>
      </c>
      <c r="P21" s="25">
        <v>0</v>
      </c>
      <c r="Q21" s="25">
        <v>0.1</v>
      </c>
      <c r="R21" s="25" t="s">
        <v>40</v>
      </c>
      <c r="S21" s="25">
        <v>0</v>
      </c>
      <c r="T21" s="25">
        <v>1</v>
      </c>
      <c r="U21" s="25" t="s">
        <v>40</v>
      </c>
      <c r="V21" s="25">
        <v>0</v>
      </c>
      <c r="W21" s="25">
        <v>1</v>
      </c>
      <c r="X21" s="25" t="s">
        <v>40</v>
      </c>
      <c r="Y21" s="25">
        <v>0</v>
      </c>
      <c r="Z21" s="25">
        <v>1</v>
      </c>
      <c r="AA21" s="25" t="s">
        <v>40</v>
      </c>
      <c r="AB21" s="25">
        <v>0</v>
      </c>
      <c r="AC21" s="25">
        <v>1</v>
      </c>
      <c r="AD21" s="25" t="s">
        <v>40</v>
      </c>
      <c r="AE21" s="25">
        <v>0</v>
      </c>
      <c r="AF21" s="25">
        <v>1</v>
      </c>
      <c r="AG21" s="25" t="s">
        <v>40</v>
      </c>
      <c r="AH21" s="25">
        <v>0</v>
      </c>
      <c r="AI21" s="25">
        <v>1</v>
      </c>
      <c r="AJ21" s="25">
        <v>0</v>
      </c>
      <c r="AK21" s="25" t="s">
        <v>40</v>
      </c>
      <c r="AL21" s="25">
        <v>0</v>
      </c>
      <c r="AM21" s="25">
        <v>1</v>
      </c>
      <c r="AN21" s="25" t="s">
        <v>98</v>
      </c>
      <c r="AO21" s="35">
        <v>0</v>
      </c>
      <c r="AP21" s="26">
        <v>1.00000003E+16</v>
      </c>
      <c r="AQ21" s="25" t="s">
        <v>106</v>
      </c>
      <c r="AR21" s="6" t="s">
        <v>2</v>
      </c>
      <c r="AS21" s="25" t="s">
        <v>1</v>
      </c>
      <c r="AT21" s="6" t="str">
        <f>$A$3&amp;"."&amp;"II2AI_CV"</f>
        <v>BXX_PRM1.II2AI_CV</v>
      </c>
      <c r="AU21" s="25" t="s">
        <v>1</v>
      </c>
      <c r="AV21" s="6" t="str">
        <f t="shared" si="6"/>
        <v>Location Power Monitor L2 Current</v>
      </c>
      <c r="AW21" s="25">
        <v>0</v>
      </c>
      <c r="AX21" s="25">
        <v>0</v>
      </c>
      <c r="AY21" s="25">
        <v>0</v>
      </c>
      <c r="AZ21" s="25">
        <v>0</v>
      </c>
      <c r="BA21" s="25">
        <v>0</v>
      </c>
      <c r="BB21" s="25">
        <v>0</v>
      </c>
      <c r="BC21" s="25">
        <v>0</v>
      </c>
      <c r="BD21" s="25">
        <v>0</v>
      </c>
    </row>
    <row r="22" spans="1:64" x14ac:dyDescent="0.25">
      <c r="A22" s="6" t="str">
        <f>$A$3&amp;"_"&amp;"II3"&amp;"_"&amp;"AI_CV"</f>
        <v>BXX_PRM1_II3_AI_CV</v>
      </c>
      <c r="B22" s="6" t="str">
        <f t="shared" si="2"/>
        <v>BXX_PRM1</v>
      </c>
      <c r="C22" s="6" t="str">
        <f>$C$3 &amp; " L3 Current"</f>
        <v>Location Power Monitor L3 Current</v>
      </c>
      <c r="D22" s="4">
        <f t="shared" si="5"/>
        <v>33</v>
      </c>
      <c r="E22" s="25" t="s">
        <v>0</v>
      </c>
      <c r="F22" s="25" t="s">
        <v>1</v>
      </c>
      <c r="G22" s="25">
        <v>0</v>
      </c>
      <c r="H22" s="25" t="s">
        <v>0</v>
      </c>
      <c r="I22" s="25" t="s">
        <v>1</v>
      </c>
      <c r="J22" s="25">
        <v>0</v>
      </c>
      <c r="K22" s="25">
        <v>0</v>
      </c>
      <c r="L22" s="25" t="s">
        <v>139</v>
      </c>
      <c r="M22" s="196">
        <v>0</v>
      </c>
      <c r="N22" s="35">
        <v>0</v>
      </c>
      <c r="O22" s="36">
        <v>1.00000003E+16</v>
      </c>
      <c r="P22" s="25">
        <v>0</v>
      </c>
      <c r="Q22" s="25">
        <v>0.1</v>
      </c>
      <c r="R22" s="25" t="s">
        <v>40</v>
      </c>
      <c r="S22" s="25">
        <v>0</v>
      </c>
      <c r="T22" s="25">
        <v>1</v>
      </c>
      <c r="U22" s="25" t="s">
        <v>40</v>
      </c>
      <c r="V22" s="25">
        <v>0</v>
      </c>
      <c r="W22" s="25">
        <v>1</v>
      </c>
      <c r="X22" s="25" t="s">
        <v>40</v>
      </c>
      <c r="Y22" s="25">
        <v>0</v>
      </c>
      <c r="Z22" s="25">
        <v>1</v>
      </c>
      <c r="AA22" s="25" t="s">
        <v>40</v>
      </c>
      <c r="AB22" s="25">
        <v>0</v>
      </c>
      <c r="AC22" s="25">
        <v>1</v>
      </c>
      <c r="AD22" s="25" t="s">
        <v>40</v>
      </c>
      <c r="AE22" s="25">
        <v>0</v>
      </c>
      <c r="AF22" s="25">
        <v>1</v>
      </c>
      <c r="AG22" s="25" t="s">
        <v>40</v>
      </c>
      <c r="AH22" s="25">
        <v>0</v>
      </c>
      <c r="AI22" s="25">
        <v>1</v>
      </c>
      <c r="AJ22" s="25">
        <v>0</v>
      </c>
      <c r="AK22" s="25" t="s">
        <v>40</v>
      </c>
      <c r="AL22" s="25">
        <v>0</v>
      </c>
      <c r="AM22" s="25">
        <v>1</v>
      </c>
      <c r="AN22" s="25" t="s">
        <v>98</v>
      </c>
      <c r="AO22" s="35">
        <v>0</v>
      </c>
      <c r="AP22" s="36">
        <v>1.00000003E+16</v>
      </c>
      <c r="AQ22" s="25" t="s">
        <v>106</v>
      </c>
      <c r="AR22" s="6" t="s">
        <v>2</v>
      </c>
      <c r="AS22" s="25" t="s">
        <v>1</v>
      </c>
      <c r="AT22" s="6" t="str">
        <f>$A$3&amp;"."&amp;"II3AI_CV"</f>
        <v>BXX_PRM1.II3AI_CV</v>
      </c>
      <c r="AU22" s="25" t="s">
        <v>1</v>
      </c>
      <c r="AV22" s="6" t="str">
        <f t="shared" si="6"/>
        <v>Location Power Monitor L3 Current</v>
      </c>
      <c r="AW22" s="25">
        <v>0</v>
      </c>
      <c r="AX22" s="25">
        <v>0</v>
      </c>
      <c r="AY22" s="25">
        <v>0</v>
      </c>
      <c r="AZ22" s="25">
        <v>0</v>
      </c>
      <c r="BA22" s="25">
        <v>0</v>
      </c>
      <c r="BB22" s="25">
        <v>0</v>
      </c>
      <c r="BC22" s="25">
        <v>0</v>
      </c>
      <c r="BD22" s="25">
        <v>0</v>
      </c>
    </row>
    <row r="23" spans="1:64" x14ac:dyDescent="0.25">
      <c r="A23" s="6" t="str">
        <f>$A$3&amp;"_"&amp;"I4"&amp;"_"&amp;"AI_CV"</f>
        <v>BXX_PRM1_I4_AI_CV</v>
      </c>
      <c r="B23" s="6" t="str">
        <f t="shared" si="2"/>
        <v>BXX_PRM1</v>
      </c>
      <c r="C23" s="6" t="str">
        <f>$C$3 &amp; " Neutral Current"</f>
        <v>Location Power Monitor Neutral Current</v>
      </c>
      <c r="D23" s="4">
        <f t="shared" si="5"/>
        <v>38</v>
      </c>
      <c r="E23" s="27" t="s">
        <v>0</v>
      </c>
      <c r="F23" s="27" t="s">
        <v>1</v>
      </c>
      <c r="G23" s="27">
        <v>0</v>
      </c>
      <c r="H23" s="27" t="s">
        <v>0</v>
      </c>
      <c r="I23" s="27" t="s">
        <v>1</v>
      </c>
      <c r="J23" s="27">
        <v>0</v>
      </c>
      <c r="K23" s="27">
        <v>0</v>
      </c>
      <c r="L23" s="27" t="s">
        <v>139</v>
      </c>
      <c r="M23" s="196">
        <v>0</v>
      </c>
      <c r="N23" s="35">
        <v>0</v>
      </c>
      <c r="O23" s="28">
        <v>1.00000003E+16</v>
      </c>
      <c r="P23" s="27">
        <v>0</v>
      </c>
      <c r="Q23" s="27">
        <v>0.1</v>
      </c>
      <c r="R23" s="27" t="s">
        <v>40</v>
      </c>
      <c r="S23" s="27">
        <v>0</v>
      </c>
      <c r="T23" s="27">
        <v>1</v>
      </c>
      <c r="U23" s="27" t="s">
        <v>40</v>
      </c>
      <c r="V23" s="27">
        <v>0</v>
      </c>
      <c r="W23" s="27">
        <v>1</v>
      </c>
      <c r="X23" s="27" t="s">
        <v>40</v>
      </c>
      <c r="Y23" s="27">
        <v>0</v>
      </c>
      <c r="Z23" s="27">
        <v>1</v>
      </c>
      <c r="AA23" s="27" t="s">
        <v>40</v>
      </c>
      <c r="AB23" s="27">
        <v>0</v>
      </c>
      <c r="AC23" s="27">
        <v>1</v>
      </c>
      <c r="AD23" s="27" t="s">
        <v>40</v>
      </c>
      <c r="AE23" s="27">
        <v>0</v>
      </c>
      <c r="AF23" s="27">
        <v>1</v>
      </c>
      <c r="AG23" s="27" t="s">
        <v>40</v>
      </c>
      <c r="AH23" s="27">
        <v>0</v>
      </c>
      <c r="AI23" s="27">
        <v>1</v>
      </c>
      <c r="AJ23" s="27">
        <v>0</v>
      </c>
      <c r="AK23" s="27" t="s">
        <v>40</v>
      </c>
      <c r="AL23" s="27">
        <v>0</v>
      </c>
      <c r="AM23" s="27">
        <v>1</v>
      </c>
      <c r="AN23" s="27" t="s">
        <v>98</v>
      </c>
      <c r="AO23" s="35">
        <v>0</v>
      </c>
      <c r="AP23" s="28">
        <v>1.00000003E+16</v>
      </c>
      <c r="AQ23" s="27" t="s">
        <v>106</v>
      </c>
      <c r="AR23" s="6" t="s">
        <v>2</v>
      </c>
      <c r="AS23" s="27" t="s">
        <v>1</v>
      </c>
      <c r="AT23" s="6" t="str">
        <f>$A$3&amp;"."&amp;"I4AI_CV"</f>
        <v>BXX_PRM1.I4AI_CV</v>
      </c>
      <c r="AU23" s="27" t="s">
        <v>1</v>
      </c>
      <c r="AV23" s="6" t="str">
        <f t="shared" si="6"/>
        <v>Location Power Monitor Neutral Current</v>
      </c>
      <c r="AW23" s="27">
        <v>0</v>
      </c>
      <c r="AX23" s="27">
        <v>0</v>
      </c>
      <c r="AY23" s="27">
        <v>0</v>
      </c>
      <c r="AZ23" s="27">
        <v>0</v>
      </c>
      <c r="BA23" s="27">
        <v>0</v>
      </c>
      <c r="BB23" s="27">
        <v>0</v>
      </c>
      <c r="BC23" s="27">
        <v>0</v>
      </c>
      <c r="BD23" s="27">
        <v>0</v>
      </c>
    </row>
    <row r="24" spans="1:64" x14ac:dyDescent="0.25">
      <c r="A24" s="6" t="str">
        <f>$A$3&amp;"_"&amp;"II6"&amp;"_"&amp;"AI_CV"</f>
        <v>BXX_PRM1_II6_AI_CV</v>
      </c>
      <c r="B24" s="6" t="str">
        <f t="shared" si="2"/>
        <v>BXX_PRM1</v>
      </c>
      <c r="C24" s="6" t="str">
        <f>$C$3 &amp; " 3 Phase Avg Current"</f>
        <v>Location Power Monitor 3 Phase Avg Current</v>
      </c>
      <c r="D24" s="4">
        <f t="shared" si="5"/>
        <v>42</v>
      </c>
      <c r="E24" s="27" t="s">
        <v>0</v>
      </c>
      <c r="F24" s="27" t="s">
        <v>1</v>
      </c>
      <c r="G24" s="27">
        <v>0</v>
      </c>
      <c r="H24" s="27" t="s">
        <v>0</v>
      </c>
      <c r="I24" s="27" t="s">
        <v>1</v>
      </c>
      <c r="J24" s="27">
        <v>0</v>
      </c>
      <c r="K24" s="27">
        <v>0</v>
      </c>
      <c r="L24" s="27" t="s">
        <v>139</v>
      </c>
      <c r="M24" s="196">
        <v>0</v>
      </c>
      <c r="N24" s="27">
        <v>0</v>
      </c>
      <c r="O24" s="28">
        <v>1.00000003E+16</v>
      </c>
      <c r="P24" s="27">
        <v>0</v>
      </c>
      <c r="Q24" s="27">
        <v>0.1</v>
      </c>
      <c r="R24" s="27" t="s">
        <v>40</v>
      </c>
      <c r="S24" s="27">
        <v>0</v>
      </c>
      <c r="T24" s="27">
        <v>1</v>
      </c>
      <c r="U24" s="27" t="s">
        <v>40</v>
      </c>
      <c r="V24" s="27">
        <v>0</v>
      </c>
      <c r="W24" s="27">
        <v>1</v>
      </c>
      <c r="X24" s="27" t="s">
        <v>40</v>
      </c>
      <c r="Y24" s="27">
        <v>0</v>
      </c>
      <c r="Z24" s="27">
        <v>1</v>
      </c>
      <c r="AA24" s="27" t="s">
        <v>40</v>
      </c>
      <c r="AB24" s="27">
        <v>0</v>
      </c>
      <c r="AC24" s="27">
        <v>1</v>
      </c>
      <c r="AD24" s="27" t="s">
        <v>40</v>
      </c>
      <c r="AE24" s="27">
        <v>0</v>
      </c>
      <c r="AF24" s="27">
        <v>1</v>
      </c>
      <c r="AG24" s="27" t="s">
        <v>40</v>
      </c>
      <c r="AH24" s="27">
        <v>0</v>
      </c>
      <c r="AI24" s="27">
        <v>1</v>
      </c>
      <c r="AJ24" s="27">
        <v>0</v>
      </c>
      <c r="AK24" s="27" t="s">
        <v>40</v>
      </c>
      <c r="AL24" s="27">
        <v>0</v>
      </c>
      <c r="AM24" s="27">
        <v>1</v>
      </c>
      <c r="AN24" s="27" t="s">
        <v>98</v>
      </c>
      <c r="AO24" s="27">
        <v>0</v>
      </c>
      <c r="AP24" s="28">
        <v>1.00000003E+16</v>
      </c>
      <c r="AQ24" s="27" t="s">
        <v>106</v>
      </c>
      <c r="AR24" s="6" t="s">
        <v>2</v>
      </c>
      <c r="AS24" s="27" t="s">
        <v>1</v>
      </c>
      <c r="AT24" s="6" t="str">
        <f>$A$3&amp;"."&amp;"II6AI_CV"</f>
        <v>BXX_PRM1.II6AI_CV</v>
      </c>
      <c r="AU24" s="27" t="s">
        <v>1</v>
      </c>
      <c r="AV24" s="6" t="str">
        <f t="shared" si="6"/>
        <v>Location Power Monitor 3 Phase Avg Current</v>
      </c>
      <c r="AW24" s="27">
        <v>0</v>
      </c>
      <c r="AX24" s="27">
        <v>0</v>
      </c>
      <c r="AY24" s="27">
        <v>0</v>
      </c>
      <c r="AZ24" s="27">
        <v>0</v>
      </c>
      <c r="BA24" s="27">
        <v>0</v>
      </c>
      <c r="BB24" s="27">
        <v>0</v>
      </c>
      <c r="BC24" s="27">
        <v>0</v>
      </c>
      <c r="BD24" s="27">
        <v>0</v>
      </c>
    </row>
    <row r="25" spans="1:64" x14ac:dyDescent="0.25">
      <c r="A25" s="6" t="str">
        <f>$A$3&amp;"_"&amp;"EI4"&amp;"_"&amp;"AI_CV"</f>
        <v>BXX_PRM1_EI4_AI_CV</v>
      </c>
      <c r="B25" s="6" t="str">
        <f t="shared" si="2"/>
        <v>BXX_PRM1</v>
      </c>
      <c r="C25" s="6" t="str">
        <f>$C$3 &amp; " L1-L2 Voltage"</f>
        <v>Location Power Monitor L1-L2 Voltage</v>
      </c>
      <c r="D25" s="4">
        <f t="shared" si="5"/>
        <v>36</v>
      </c>
      <c r="E25" s="19" t="s">
        <v>0</v>
      </c>
      <c r="F25" s="19" t="s">
        <v>1</v>
      </c>
      <c r="G25" s="19">
        <v>0</v>
      </c>
      <c r="H25" s="19" t="s">
        <v>0</v>
      </c>
      <c r="I25" s="19" t="s">
        <v>1</v>
      </c>
      <c r="J25" s="19">
        <v>0</v>
      </c>
      <c r="K25" s="19">
        <v>0</v>
      </c>
      <c r="L25" s="19" t="s">
        <v>137</v>
      </c>
      <c r="M25" s="196">
        <v>0</v>
      </c>
      <c r="N25" s="19">
        <v>0</v>
      </c>
      <c r="O25" s="20">
        <v>1.00000003E+16</v>
      </c>
      <c r="P25" s="19">
        <v>0</v>
      </c>
      <c r="Q25" s="19">
        <v>0.5</v>
      </c>
      <c r="R25" s="19" t="s">
        <v>40</v>
      </c>
      <c r="S25" s="19">
        <v>0</v>
      </c>
      <c r="T25" s="19">
        <v>1</v>
      </c>
      <c r="U25" s="19" t="s">
        <v>40</v>
      </c>
      <c r="V25" s="19">
        <v>0</v>
      </c>
      <c r="W25" s="19">
        <v>1</v>
      </c>
      <c r="X25" s="19" t="s">
        <v>40</v>
      </c>
      <c r="Y25" s="19">
        <v>0</v>
      </c>
      <c r="Z25" s="19">
        <v>1</v>
      </c>
      <c r="AA25" s="19" t="s">
        <v>40</v>
      </c>
      <c r="AB25" s="19">
        <v>0</v>
      </c>
      <c r="AC25" s="19">
        <v>1</v>
      </c>
      <c r="AD25" s="19" t="s">
        <v>40</v>
      </c>
      <c r="AE25" s="19">
        <v>0</v>
      </c>
      <c r="AF25" s="19">
        <v>1</v>
      </c>
      <c r="AG25" s="19" t="s">
        <v>40</v>
      </c>
      <c r="AH25" s="19">
        <v>0</v>
      </c>
      <c r="AI25" s="19">
        <v>1</v>
      </c>
      <c r="AJ25" s="19">
        <v>0</v>
      </c>
      <c r="AK25" s="19" t="s">
        <v>40</v>
      </c>
      <c r="AL25" s="19">
        <v>0</v>
      </c>
      <c r="AM25" s="19">
        <v>1</v>
      </c>
      <c r="AN25" s="19" t="s">
        <v>98</v>
      </c>
      <c r="AO25" s="19">
        <v>0</v>
      </c>
      <c r="AP25" s="20">
        <v>1.00000003E+16</v>
      </c>
      <c r="AQ25" s="19" t="s">
        <v>106</v>
      </c>
      <c r="AR25" s="6" t="s">
        <v>2</v>
      </c>
      <c r="AS25" s="19" t="s">
        <v>1</v>
      </c>
      <c r="AT25" s="6" t="str">
        <f>$A$3&amp;"."&amp;"EI4AI_CV"</f>
        <v>BXX_PRM1.EI4AI_CV</v>
      </c>
      <c r="AU25" s="19" t="s">
        <v>1</v>
      </c>
      <c r="AV25" s="6" t="str">
        <f t="shared" si="6"/>
        <v>Location Power Monitor L1-L2 Voltage</v>
      </c>
      <c r="AW25" s="19">
        <v>0</v>
      </c>
      <c r="AX25" s="19">
        <v>0</v>
      </c>
      <c r="AY25" s="19">
        <v>0</v>
      </c>
      <c r="AZ25" s="19">
        <v>0</v>
      </c>
      <c r="BA25" s="19">
        <v>0</v>
      </c>
      <c r="BB25" s="19">
        <v>0</v>
      </c>
      <c r="BC25" s="19">
        <v>0</v>
      </c>
      <c r="BD25" s="19">
        <v>0</v>
      </c>
    </row>
    <row r="26" spans="1:64" x14ac:dyDescent="0.25">
      <c r="A26" s="6" t="str">
        <f>$A$3&amp;"_"&amp;"EI5"&amp;"_"&amp;"AI_CV"</f>
        <v>BXX_PRM1_EI5_AI_CV</v>
      </c>
      <c r="B26" s="6" t="str">
        <f t="shared" si="2"/>
        <v>BXX_PRM1</v>
      </c>
      <c r="C26" s="6" t="str">
        <f>$C$3 &amp; " L2-L3 Voltage"</f>
        <v>Location Power Monitor L2-L3 Voltage</v>
      </c>
      <c r="D26" s="4">
        <f t="shared" si="5"/>
        <v>36</v>
      </c>
      <c r="E26" s="19" t="s">
        <v>0</v>
      </c>
      <c r="F26" s="19" t="s">
        <v>1</v>
      </c>
      <c r="G26" s="19">
        <v>0</v>
      </c>
      <c r="H26" s="19" t="s">
        <v>0</v>
      </c>
      <c r="I26" s="19" t="s">
        <v>1</v>
      </c>
      <c r="J26" s="19">
        <v>0</v>
      </c>
      <c r="K26" s="19">
        <v>0</v>
      </c>
      <c r="L26" s="19" t="s">
        <v>137</v>
      </c>
      <c r="M26" s="196">
        <v>0</v>
      </c>
      <c r="N26" s="19">
        <v>0</v>
      </c>
      <c r="O26" s="20">
        <v>1.00000003E+16</v>
      </c>
      <c r="P26" s="19">
        <v>0</v>
      </c>
      <c r="Q26" s="19">
        <v>0.5</v>
      </c>
      <c r="R26" s="19" t="s">
        <v>40</v>
      </c>
      <c r="S26" s="19">
        <v>0</v>
      </c>
      <c r="T26" s="19">
        <v>1</v>
      </c>
      <c r="U26" s="19" t="s">
        <v>40</v>
      </c>
      <c r="V26" s="19">
        <v>0</v>
      </c>
      <c r="W26" s="19">
        <v>1</v>
      </c>
      <c r="X26" s="19" t="s">
        <v>40</v>
      </c>
      <c r="Y26" s="19">
        <v>0</v>
      </c>
      <c r="Z26" s="19">
        <v>1</v>
      </c>
      <c r="AA26" s="19" t="s">
        <v>40</v>
      </c>
      <c r="AB26" s="19">
        <v>0</v>
      </c>
      <c r="AC26" s="19">
        <v>1</v>
      </c>
      <c r="AD26" s="19" t="s">
        <v>40</v>
      </c>
      <c r="AE26" s="19">
        <v>0</v>
      </c>
      <c r="AF26" s="19">
        <v>1</v>
      </c>
      <c r="AG26" s="19" t="s">
        <v>40</v>
      </c>
      <c r="AH26" s="19">
        <v>0</v>
      </c>
      <c r="AI26" s="19">
        <v>1</v>
      </c>
      <c r="AJ26" s="19">
        <v>0</v>
      </c>
      <c r="AK26" s="19" t="s">
        <v>40</v>
      </c>
      <c r="AL26" s="19">
        <v>0</v>
      </c>
      <c r="AM26" s="19">
        <v>1</v>
      </c>
      <c r="AN26" s="19" t="s">
        <v>98</v>
      </c>
      <c r="AO26" s="19">
        <v>0</v>
      </c>
      <c r="AP26" s="20">
        <v>1.00000003E+16</v>
      </c>
      <c r="AQ26" s="19" t="s">
        <v>106</v>
      </c>
      <c r="AR26" s="6" t="s">
        <v>2</v>
      </c>
      <c r="AS26" s="19" t="s">
        <v>1</v>
      </c>
      <c r="AT26" s="6" t="str">
        <f>$A$3&amp;"."&amp;"EI5AI_CV"</f>
        <v>BXX_PRM1.EI5AI_CV</v>
      </c>
      <c r="AU26" s="19" t="s">
        <v>1</v>
      </c>
      <c r="AV26" s="6" t="str">
        <f t="shared" si="6"/>
        <v>Location Power Monitor L2-L3 Voltage</v>
      </c>
      <c r="AW26" s="19">
        <v>0</v>
      </c>
      <c r="AX26" s="19">
        <v>0</v>
      </c>
      <c r="AY26" s="19">
        <v>0</v>
      </c>
      <c r="AZ26" s="19">
        <v>0</v>
      </c>
      <c r="BA26" s="19">
        <v>0</v>
      </c>
      <c r="BB26" s="19">
        <v>0</v>
      </c>
      <c r="BC26" s="19">
        <v>0</v>
      </c>
      <c r="BD26" s="19">
        <v>0</v>
      </c>
    </row>
    <row r="27" spans="1:64" x14ac:dyDescent="0.25">
      <c r="A27" s="6" t="str">
        <f>$A$3&amp;"_"&amp;"EI6"&amp;"_"&amp;"AI_CV"</f>
        <v>BXX_PRM1_EI6_AI_CV</v>
      </c>
      <c r="B27" s="6" t="str">
        <f t="shared" si="2"/>
        <v>BXX_PRM1</v>
      </c>
      <c r="C27" s="6" t="str">
        <f>$C$3 &amp; " L3-L1 Voltage"</f>
        <v>Location Power Monitor L3-L1 Voltage</v>
      </c>
      <c r="D27" s="4">
        <f t="shared" si="5"/>
        <v>36</v>
      </c>
      <c r="E27" s="21" t="s">
        <v>0</v>
      </c>
      <c r="F27" s="21" t="s">
        <v>1</v>
      </c>
      <c r="G27" s="21">
        <v>0</v>
      </c>
      <c r="H27" s="21" t="s">
        <v>0</v>
      </c>
      <c r="I27" s="21" t="s">
        <v>1</v>
      </c>
      <c r="J27" s="21">
        <v>0</v>
      </c>
      <c r="K27" s="21">
        <v>0</v>
      </c>
      <c r="L27" s="21" t="s">
        <v>137</v>
      </c>
      <c r="M27" s="196">
        <v>0</v>
      </c>
      <c r="N27" s="21">
        <v>0</v>
      </c>
      <c r="O27" s="22">
        <v>1.00000003E+16</v>
      </c>
      <c r="P27" s="21">
        <v>0</v>
      </c>
      <c r="Q27" s="21">
        <v>0.5</v>
      </c>
      <c r="R27" s="21" t="s">
        <v>40</v>
      </c>
      <c r="S27" s="21">
        <v>0</v>
      </c>
      <c r="T27" s="21">
        <v>1</v>
      </c>
      <c r="U27" s="21" t="s">
        <v>40</v>
      </c>
      <c r="V27" s="21">
        <v>0</v>
      </c>
      <c r="W27" s="21">
        <v>1</v>
      </c>
      <c r="X27" s="21" t="s">
        <v>40</v>
      </c>
      <c r="Y27" s="21">
        <v>0</v>
      </c>
      <c r="Z27" s="21">
        <v>1</v>
      </c>
      <c r="AA27" s="21" t="s">
        <v>40</v>
      </c>
      <c r="AB27" s="21">
        <v>0</v>
      </c>
      <c r="AC27" s="21">
        <v>1</v>
      </c>
      <c r="AD27" s="21" t="s">
        <v>40</v>
      </c>
      <c r="AE27" s="21">
        <v>0</v>
      </c>
      <c r="AF27" s="21">
        <v>1</v>
      </c>
      <c r="AG27" s="21" t="s">
        <v>40</v>
      </c>
      <c r="AH27" s="21">
        <v>0</v>
      </c>
      <c r="AI27" s="21">
        <v>1</v>
      </c>
      <c r="AJ27" s="21">
        <v>0</v>
      </c>
      <c r="AK27" s="21" t="s">
        <v>40</v>
      </c>
      <c r="AL27" s="21">
        <v>0</v>
      </c>
      <c r="AM27" s="21">
        <v>1</v>
      </c>
      <c r="AN27" s="21" t="s">
        <v>98</v>
      </c>
      <c r="AO27" s="21">
        <v>0</v>
      </c>
      <c r="AP27" s="22">
        <v>1.00000003E+16</v>
      </c>
      <c r="AQ27" s="21" t="s">
        <v>106</v>
      </c>
      <c r="AR27" s="6" t="s">
        <v>2</v>
      </c>
      <c r="AS27" s="21" t="s">
        <v>1</v>
      </c>
      <c r="AT27" s="6" t="str">
        <f>$A$3&amp;"."&amp;"EI6AI_CV"</f>
        <v>BXX_PRM1.EI6AI_CV</v>
      </c>
      <c r="AU27" s="21" t="s">
        <v>1</v>
      </c>
      <c r="AV27" s="6" t="str">
        <f t="shared" si="6"/>
        <v>Location Power Monitor L3-L1 Voltage</v>
      </c>
      <c r="AW27" s="21">
        <v>0</v>
      </c>
      <c r="AX27" s="21">
        <v>0</v>
      </c>
      <c r="AY27" s="21">
        <v>0</v>
      </c>
      <c r="AZ27" s="21">
        <v>0</v>
      </c>
      <c r="BA27" s="21">
        <v>0</v>
      </c>
      <c r="BB27" s="21">
        <v>0</v>
      </c>
      <c r="BC27" s="21">
        <v>0</v>
      </c>
      <c r="BD27" s="21">
        <v>0</v>
      </c>
    </row>
    <row r="28" spans="1:64" x14ac:dyDescent="0.25">
      <c r="A28" s="6" t="str">
        <f>$A$3&amp;"_"&amp;"EI8"&amp;"_"&amp;"AI_CV"</f>
        <v>BXX_PRM1_EI8_AI_CV</v>
      </c>
      <c r="B28" s="6" t="str">
        <f t="shared" si="2"/>
        <v>BXX_PRM1</v>
      </c>
      <c r="C28" s="6" t="str">
        <f>$C$3 &amp; " Avg L-L Voltage"</f>
        <v>Location Power Monitor Avg L-L Voltage</v>
      </c>
      <c r="D28" s="4">
        <f t="shared" si="5"/>
        <v>38</v>
      </c>
      <c r="E28" s="23" t="s">
        <v>0</v>
      </c>
      <c r="F28" s="23" t="s">
        <v>1</v>
      </c>
      <c r="G28" s="23">
        <v>0</v>
      </c>
      <c r="H28" s="23" t="s">
        <v>0</v>
      </c>
      <c r="I28" s="23" t="s">
        <v>1</v>
      </c>
      <c r="J28" s="23">
        <v>0</v>
      </c>
      <c r="K28" s="23">
        <v>0</v>
      </c>
      <c r="L28" s="23" t="s">
        <v>137</v>
      </c>
      <c r="M28" s="196">
        <v>0</v>
      </c>
      <c r="N28" s="23">
        <v>0</v>
      </c>
      <c r="O28" s="24">
        <v>1.00000003E+16</v>
      </c>
      <c r="P28" s="23">
        <v>0</v>
      </c>
      <c r="Q28" s="23">
        <v>0.5</v>
      </c>
      <c r="R28" s="23" t="s">
        <v>40</v>
      </c>
      <c r="S28" s="23">
        <v>0</v>
      </c>
      <c r="T28" s="23">
        <v>1</v>
      </c>
      <c r="U28" s="23" t="s">
        <v>40</v>
      </c>
      <c r="V28" s="23">
        <v>0</v>
      </c>
      <c r="W28" s="23">
        <v>1</v>
      </c>
      <c r="X28" s="23" t="s">
        <v>40</v>
      </c>
      <c r="Y28" s="23">
        <v>0</v>
      </c>
      <c r="Z28" s="23">
        <v>1</v>
      </c>
      <c r="AA28" s="23" t="s">
        <v>40</v>
      </c>
      <c r="AB28" s="23">
        <v>0</v>
      </c>
      <c r="AC28" s="23">
        <v>1</v>
      </c>
      <c r="AD28" s="23" t="s">
        <v>40</v>
      </c>
      <c r="AE28" s="23">
        <v>0</v>
      </c>
      <c r="AF28" s="23">
        <v>1</v>
      </c>
      <c r="AG28" s="23" t="s">
        <v>40</v>
      </c>
      <c r="AH28" s="23">
        <v>0</v>
      </c>
      <c r="AI28" s="23">
        <v>1</v>
      </c>
      <c r="AJ28" s="23">
        <v>0</v>
      </c>
      <c r="AK28" s="23" t="s">
        <v>40</v>
      </c>
      <c r="AL28" s="23">
        <v>0</v>
      </c>
      <c r="AM28" s="23">
        <v>1</v>
      </c>
      <c r="AN28" s="23" t="s">
        <v>98</v>
      </c>
      <c r="AO28" s="23">
        <v>0</v>
      </c>
      <c r="AP28" s="24">
        <v>1.00000003E+16</v>
      </c>
      <c r="AQ28" s="23" t="s">
        <v>106</v>
      </c>
      <c r="AR28" s="6" t="s">
        <v>2</v>
      </c>
      <c r="AS28" s="23" t="s">
        <v>1</v>
      </c>
      <c r="AT28" s="6" t="str">
        <f>$A$3&amp;"."&amp;"EI8AI_CV"</f>
        <v>BXX_PRM1.EI8AI_CV</v>
      </c>
      <c r="AU28" s="23" t="s">
        <v>1</v>
      </c>
      <c r="AV28" s="6" t="str">
        <f t="shared" si="6"/>
        <v>Location Power Monitor Avg L-L Voltage</v>
      </c>
      <c r="AW28" s="23">
        <v>0</v>
      </c>
      <c r="AX28" s="23">
        <v>0</v>
      </c>
      <c r="AY28" s="23">
        <v>0</v>
      </c>
      <c r="AZ28" s="23">
        <v>0</v>
      </c>
      <c r="BA28" s="23">
        <v>0</v>
      </c>
      <c r="BB28" s="23">
        <v>0</v>
      </c>
      <c r="BC28" s="23">
        <v>0</v>
      </c>
      <c r="BD28" s="23">
        <v>0</v>
      </c>
    </row>
    <row r="29" spans="1:64" x14ac:dyDescent="0.25">
      <c r="A29" s="6" t="str">
        <f>$A$3&amp;"_"&amp;"EI1"&amp;"_"&amp;"AI_CV"</f>
        <v>BXX_PRM1_EI1_AI_CV</v>
      </c>
      <c r="B29" s="6" t="str">
        <f t="shared" si="2"/>
        <v>BXX_PRM1</v>
      </c>
      <c r="C29" s="6" t="str">
        <f>$C$3 &amp; " L1-N Voltage"</f>
        <v>Location Power Monitor L1-N Voltage</v>
      </c>
      <c r="D29" s="4">
        <f t="shared" si="4"/>
        <v>35</v>
      </c>
      <c r="E29" s="19" t="s">
        <v>0</v>
      </c>
      <c r="F29" s="19" t="s">
        <v>1</v>
      </c>
      <c r="G29" s="19">
        <v>0</v>
      </c>
      <c r="H29" s="19" t="s">
        <v>0</v>
      </c>
      <c r="I29" s="19" t="s">
        <v>1</v>
      </c>
      <c r="J29" s="19">
        <v>0</v>
      </c>
      <c r="K29" s="19">
        <v>0</v>
      </c>
      <c r="L29" s="19" t="s">
        <v>137</v>
      </c>
      <c r="M29" s="19">
        <v>0</v>
      </c>
      <c r="N29" s="19">
        <v>0</v>
      </c>
      <c r="O29" s="36">
        <v>1.00000003E+16</v>
      </c>
      <c r="P29" s="19">
        <v>0</v>
      </c>
      <c r="Q29" s="19">
        <v>0.5</v>
      </c>
      <c r="R29" s="19" t="s">
        <v>40</v>
      </c>
      <c r="S29" s="19">
        <v>0</v>
      </c>
      <c r="T29" s="19">
        <v>1</v>
      </c>
      <c r="U29" s="19" t="s">
        <v>40</v>
      </c>
      <c r="V29" s="19">
        <v>0</v>
      </c>
      <c r="W29" s="19">
        <v>1</v>
      </c>
      <c r="X29" s="19" t="s">
        <v>40</v>
      </c>
      <c r="Y29" s="19">
        <v>0</v>
      </c>
      <c r="Z29" s="19">
        <v>1</v>
      </c>
      <c r="AA29" s="19" t="s">
        <v>40</v>
      </c>
      <c r="AB29" s="19">
        <v>0</v>
      </c>
      <c r="AC29" s="19">
        <v>1</v>
      </c>
      <c r="AD29" s="19" t="s">
        <v>40</v>
      </c>
      <c r="AE29" s="19">
        <v>0</v>
      </c>
      <c r="AF29" s="19">
        <v>1</v>
      </c>
      <c r="AG29" s="19" t="s">
        <v>40</v>
      </c>
      <c r="AH29" s="19">
        <v>0</v>
      </c>
      <c r="AI29" s="19">
        <v>1</v>
      </c>
      <c r="AJ29" s="19">
        <v>0</v>
      </c>
      <c r="AK29" s="19" t="s">
        <v>40</v>
      </c>
      <c r="AL29" s="19">
        <v>0</v>
      </c>
      <c r="AM29" s="19">
        <v>1</v>
      </c>
      <c r="AN29" s="19" t="s">
        <v>98</v>
      </c>
      <c r="AO29" s="19">
        <v>0</v>
      </c>
      <c r="AP29" s="36">
        <v>1.00000003E+16</v>
      </c>
      <c r="AQ29" s="19" t="s">
        <v>106</v>
      </c>
      <c r="AR29" s="6" t="s">
        <v>2</v>
      </c>
      <c r="AS29" s="19" t="s">
        <v>1</v>
      </c>
      <c r="AT29" s="6" t="str">
        <f>$A$3&amp;"."&amp;"EI1AI_CV"</f>
        <v>BXX_PRM1.EI1AI_CV</v>
      </c>
      <c r="AU29" s="19" t="s">
        <v>1</v>
      </c>
      <c r="AV29" s="6" t="str">
        <f t="shared" si="3"/>
        <v>Location Power Monitor L1-N Voltage</v>
      </c>
      <c r="AW29" s="19">
        <v>0</v>
      </c>
      <c r="AX29" s="19">
        <v>0</v>
      </c>
      <c r="AY29" s="19">
        <v>0</v>
      </c>
      <c r="AZ29" s="19">
        <v>0</v>
      </c>
      <c r="BA29" s="19">
        <v>0</v>
      </c>
      <c r="BB29" s="19">
        <v>0</v>
      </c>
      <c r="BC29" s="19">
        <v>0</v>
      </c>
      <c r="BD29" s="19">
        <v>0</v>
      </c>
    </row>
    <row r="30" spans="1:64" x14ac:dyDescent="0.25">
      <c r="A30" s="6" t="str">
        <f>$A$3&amp;"_"&amp;"EI2"&amp;"_"&amp;"AI_CV"</f>
        <v>BXX_PRM1_EI2_AI_CV</v>
      </c>
      <c r="B30" s="6" t="str">
        <f t="shared" si="2"/>
        <v>BXX_PRM1</v>
      </c>
      <c r="C30" s="6" t="str">
        <f>$C$3 &amp; " L2-N Voltage"</f>
        <v>Location Power Monitor L2-N Voltage</v>
      </c>
      <c r="D30" s="4">
        <f t="shared" si="4"/>
        <v>35</v>
      </c>
      <c r="E30" s="19" t="s">
        <v>0</v>
      </c>
      <c r="F30" s="19" t="s">
        <v>1</v>
      </c>
      <c r="G30" s="19">
        <v>0</v>
      </c>
      <c r="H30" s="19" t="s">
        <v>0</v>
      </c>
      <c r="I30" s="19" t="s">
        <v>1</v>
      </c>
      <c r="J30" s="19">
        <v>0</v>
      </c>
      <c r="K30" s="19">
        <v>0</v>
      </c>
      <c r="L30" s="19" t="s">
        <v>137</v>
      </c>
      <c r="M30" s="196">
        <v>0</v>
      </c>
      <c r="N30" s="19">
        <v>0</v>
      </c>
      <c r="O30" s="36">
        <v>1.00000003E+16</v>
      </c>
      <c r="P30" s="19">
        <v>0</v>
      </c>
      <c r="Q30" s="19">
        <v>0.5</v>
      </c>
      <c r="R30" s="19" t="s">
        <v>40</v>
      </c>
      <c r="S30" s="19">
        <v>0</v>
      </c>
      <c r="T30" s="19">
        <v>1</v>
      </c>
      <c r="U30" s="19" t="s">
        <v>40</v>
      </c>
      <c r="V30" s="19">
        <v>0</v>
      </c>
      <c r="W30" s="19">
        <v>1</v>
      </c>
      <c r="X30" s="19" t="s">
        <v>40</v>
      </c>
      <c r="Y30" s="19">
        <v>0</v>
      </c>
      <c r="Z30" s="19">
        <v>1</v>
      </c>
      <c r="AA30" s="19" t="s">
        <v>40</v>
      </c>
      <c r="AB30" s="19">
        <v>0</v>
      </c>
      <c r="AC30" s="19">
        <v>1</v>
      </c>
      <c r="AD30" s="19" t="s">
        <v>40</v>
      </c>
      <c r="AE30" s="19">
        <v>0</v>
      </c>
      <c r="AF30" s="19">
        <v>1</v>
      </c>
      <c r="AG30" s="19" t="s">
        <v>40</v>
      </c>
      <c r="AH30" s="19">
        <v>0</v>
      </c>
      <c r="AI30" s="19">
        <v>1</v>
      </c>
      <c r="AJ30" s="19">
        <v>0</v>
      </c>
      <c r="AK30" s="19" t="s">
        <v>40</v>
      </c>
      <c r="AL30" s="19">
        <v>0</v>
      </c>
      <c r="AM30" s="19">
        <v>1</v>
      </c>
      <c r="AN30" s="19" t="s">
        <v>98</v>
      </c>
      <c r="AO30" s="19">
        <v>0</v>
      </c>
      <c r="AP30" s="36">
        <v>1.00000003E+16</v>
      </c>
      <c r="AQ30" s="19" t="s">
        <v>106</v>
      </c>
      <c r="AR30" s="6" t="s">
        <v>2</v>
      </c>
      <c r="AS30" s="19" t="s">
        <v>1</v>
      </c>
      <c r="AT30" s="6" t="str">
        <f>$A$3&amp;"."&amp;"EI2AI_CV"</f>
        <v>BXX_PRM1.EI2AI_CV</v>
      </c>
      <c r="AU30" s="19" t="s">
        <v>1</v>
      </c>
      <c r="AV30" s="6" t="str">
        <f t="shared" si="3"/>
        <v>Location Power Monitor L2-N Voltage</v>
      </c>
      <c r="AW30" s="19">
        <v>0</v>
      </c>
      <c r="AX30" s="19">
        <v>0</v>
      </c>
      <c r="AY30" s="19">
        <v>0</v>
      </c>
      <c r="AZ30" s="19">
        <v>0</v>
      </c>
      <c r="BA30" s="19">
        <v>0</v>
      </c>
      <c r="BB30" s="19">
        <v>0</v>
      </c>
      <c r="BC30" s="19">
        <v>0</v>
      </c>
      <c r="BD30" s="19">
        <v>0</v>
      </c>
    </row>
    <row r="31" spans="1:64" x14ac:dyDescent="0.25">
      <c r="A31" s="6" t="str">
        <f>$A$3&amp;"_"&amp;"EI3"&amp;"_"&amp;"AI_CV"</f>
        <v>BXX_PRM1_EI3_AI_CV</v>
      </c>
      <c r="B31" s="6" t="str">
        <f t="shared" si="2"/>
        <v>BXX_PRM1</v>
      </c>
      <c r="C31" s="6" t="str">
        <f>$C$3 &amp; " L3-N Voltage"</f>
        <v>Location Power Monitor L3-N Voltage</v>
      </c>
      <c r="D31" s="4">
        <f t="shared" si="4"/>
        <v>35</v>
      </c>
      <c r="E31" s="19" t="s">
        <v>0</v>
      </c>
      <c r="F31" s="19" t="s">
        <v>1</v>
      </c>
      <c r="G31" s="19">
        <v>0</v>
      </c>
      <c r="H31" s="19" t="s">
        <v>0</v>
      </c>
      <c r="I31" s="19" t="s">
        <v>1</v>
      </c>
      <c r="J31" s="19">
        <v>0</v>
      </c>
      <c r="K31" s="19">
        <v>0</v>
      </c>
      <c r="L31" s="19" t="s">
        <v>137</v>
      </c>
      <c r="M31" s="196">
        <v>0</v>
      </c>
      <c r="N31" s="19">
        <v>0</v>
      </c>
      <c r="O31" s="36">
        <v>1.00000003E+16</v>
      </c>
      <c r="P31" s="19">
        <v>0</v>
      </c>
      <c r="Q31" s="19">
        <v>0.5</v>
      </c>
      <c r="R31" s="19" t="s">
        <v>40</v>
      </c>
      <c r="S31" s="19">
        <v>0</v>
      </c>
      <c r="T31" s="19">
        <v>1</v>
      </c>
      <c r="U31" s="19" t="s">
        <v>40</v>
      </c>
      <c r="V31" s="19">
        <v>0</v>
      </c>
      <c r="W31" s="19">
        <v>1</v>
      </c>
      <c r="X31" s="19" t="s">
        <v>40</v>
      </c>
      <c r="Y31" s="19">
        <v>0</v>
      </c>
      <c r="Z31" s="19">
        <v>1</v>
      </c>
      <c r="AA31" s="19" t="s">
        <v>40</v>
      </c>
      <c r="AB31" s="19">
        <v>0</v>
      </c>
      <c r="AC31" s="19">
        <v>1</v>
      </c>
      <c r="AD31" s="19" t="s">
        <v>40</v>
      </c>
      <c r="AE31" s="19">
        <v>0</v>
      </c>
      <c r="AF31" s="19">
        <v>1</v>
      </c>
      <c r="AG31" s="19" t="s">
        <v>40</v>
      </c>
      <c r="AH31" s="19">
        <v>0</v>
      </c>
      <c r="AI31" s="19">
        <v>1</v>
      </c>
      <c r="AJ31" s="19">
        <v>0</v>
      </c>
      <c r="AK31" s="19" t="s">
        <v>40</v>
      </c>
      <c r="AL31" s="19">
        <v>0</v>
      </c>
      <c r="AM31" s="19">
        <v>1</v>
      </c>
      <c r="AN31" s="19" t="s">
        <v>98</v>
      </c>
      <c r="AO31" s="19">
        <v>0</v>
      </c>
      <c r="AP31" s="36">
        <v>1.00000003E+16</v>
      </c>
      <c r="AQ31" s="19" t="s">
        <v>106</v>
      </c>
      <c r="AR31" s="6" t="s">
        <v>2</v>
      </c>
      <c r="AS31" s="19" t="s">
        <v>1</v>
      </c>
      <c r="AT31" s="6" t="str">
        <f>$A$3&amp;"."&amp;"EI3AI_CV"</f>
        <v>BXX_PRM1.EI3AI_CV</v>
      </c>
      <c r="AU31" s="19" t="s">
        <v>1</v>
      </c>
      <c r="AV31" s="6" t="str">
        <f t="shared" si="3"/>
        <v>Location Power Monitor L3-N Voltage</v>
      </c>
      <c r="AW31" s="19">
        <v>0</v>
      </c>
      <c r="AX31" s="19">
        <v>0</v>
      </c>
      <c r="AY31" s="19">
        <v>0</v>
      </c>
      <c r="AZ31" s="19">
        <v>0</v>
      </c>
      <c r="BA31" s="19">
        <v>0</v>
      </c>
      <c r="BB31" s="19">
        <v>0</v>
      </c>
      <c r="BC31" s="19">
        <v>0</v>
      </c>
      <c r="BD31" s="19">
        <v>0</v>
      </c>
    </row>
    <row r="32" spans="1:64" x14ac:dyDescent="0.25">
      <c r="A32" s="6" t="str">
        <f>$A$3&amp;"_"&amp;"EI7"&amp;"_"&amp;"AI_CV"</f>
        <v>BXX_PRM1_EI7_AI_CV</v>
      </c>
      <c r="B32" s="6" t="str">
        <f t="shared" si="2"/>
        <v>BXX_PRM1</v>
      </c>
      <c r="C32" s="6" t="str">
        <f>$C$3 &amp; " Avg L-N Voltage"</f>
        <v>Location Power Monitor Avg L-N Voltage</v>
      </c>
      <c r="D32" s="4">
        <f t="shared" si="4"/>
        <v>38</v>
      </c>
      <c r="E32" s="21" t="s">
        <v>0</v>
      </c>
      <c r="F32" s="21" t="s">
        <v>1</v>
      </c>
      <c r="G32" s="21">
        <v>0</v>
      </c>
      <c r="H32" s="21" t="s">
        <v>0</v>
      </c>
      <c r="I32" s="21" t="s">
        <v>1</v>
      </c>
      <c r="J32" s="21">
        <v>0</v>
      </c>
      <c r="K32" s="21">
        <v>0</v>
      </c>
      <c r="L32" s="21" t="s">
        <v>137</v>
      </c>
      <c r="M32" s="196">
        <v>0</v>
      </c>
      <c r="N32" s="21">
        <v>0</v>
      </c>
      <c r="O32" s="22">
        <v>1.00000003E+16</v>
      </c>
      <c r="P32" s="21">
        <v>0</v>
      </c>
      <c r="Q32" s="21">
        <v>0.5</v>
      </c>
      <c r="R32" s="21" t="s">
        <v>40</v>
      </c>
      <c r="S32" s="21">
        <v>0</v>
      </c>
      <c r="T32" s="21">
        <v>1</v>
      </c>
      <c r="U32" s="21" t="s">
        <v>40</v>
      </c>
      <c r="V32" s="21">
        <v>0</v>
      </c>
      <c r="W32" s="21">
        <v>1</v>
      </c>
      <c r="X32" s="21" t="s">
        <v>40</v>
      </c>
      <c r="Y32" s="21">
        <v>0</v>
      </c>
      <c r="Z32" s="21">
        <v>1</v>
      </c>
      <c r="AA32" s="21" t="s">
        <v>40</v>
      </c>
      <c r="AB32" s="21">
        <v>0</v>
      </c>
      <c r="AC32" s="21">
        <v>1</v>
      </c>
      <c r="AD32" s="21" t="s">
        <v>40</v>
      </c>
      <c r="AE32" s="21">
        <v>0</v>
      </c>
      <c r="AF32" s="21">
        <v>1</v>
      </c>
      <c r="AG32" s="21" t="s">
        <v>40</v>
      </c>
      <c r="AH32" s="21">
        <v>0</v>
      </c>
      <c r="AI32" s="21">
        <v>1</v>
      </c>
      <c r="AJ32" s="21">
        <v>0</v>
      </c>
      <c r="AK32" s="21" t="s">
        <v>40</v>
      </c>
      <c r="AL32" s="21">
        <v>0</v>
      </c>
      <c r="AM32" s="21">
        <v>1</v>
      </c>
      <c r="AN32" s="21" t="s">
        <v>98</v>
      </c>
      <c r="AO32" s="21">
        <v>0</v>
      </c>
      <c r="AP32" s="22">
        <v>1.00000003E+16</v>
      </c>
      <c r="AQ32" s="21" t="s">
        <v>106</v>
      </c>
      <c r="AR32" s="6" t="s">
        <v>2</v>
      </c>
      <c r="AS32" s="21" t="s">
        <v>1</v>
      </c>
      <c r="AT32" s="6" t="str">
        <f>$A$3&amp;"."&amp;"EI7AI_CV"</f>
        <v>BXX_PRM1.EI7AI_CV</v>
      </c>
      <c r="AU32" s="21" t="s">
        <v>1</v>
      </c>
      <c r="AV32" s="6" t="str">
        <f t="shared" si="3"/>
        <v>Location Power Monitor Avg L-N Voltage</v>
      </c>
      <c r="AW32" s="21">
        <v>0</v>
      </c>
      <c r="AX32" s="21">
        <v>0</v>
      </c>
      <c r="AY32" s="21">
        <v>0</v>
      </c>
      <c r="AZ32" s="21">
        <v>0</v>
      </c>
      <c r="BA32" s="21">
        <v>0</v>
      </c>
      <c r="BB32" s="21">
        <v>0</v>
      </c>
      <c r="BC32" s="21">
        <v>0</v>
      </c>
      <c r="BD32" s="21">
        <v>0</v>
      </c>
    </row>
    <row r="33" spans="1:56" x14ac:dyDescent="0.25">
      <c r="A33" s="6" t="str">
        <f>$A$3&amp;"_"&amp;"HZ1"&amp;"_"&amp;"AI_CV"</f>
        <v>BXX_PRM1_HZ1_AI_CV</v>
      </c>
      <c r="B33" s="6" t="str">
        <f t="shared" si="2"/>
        <v>BXX_PRM1</v>
      </c>
      <c r="C33" s="6" t="str">
        <f>$C$3 &amp; " Last Cycle Frequency"</f>
        <v>Location Power Monitor Last Cycle Frequency</v>
      </c>
      <c r="D33" s="4">
        <f t="shared" si="4"/>
        <v>43</v>
      </c>
      <c r="E33" s="25" t="s">
        <v>0</v>
      </c>
      <c r="F33" s="25" t="s">
        <v>1</v>
      </c>
      <c r="G33" s="25">
        <v>0</v>
      </c>
      <c r="H33" s="25" t="s">
        <v>0</v>
      </c>
      <c r="I33" s="25" t="s">
        <v>1</v>
      </c>
      <c r="J33" s="25">
        <v>0</v>
      </c>
      <c r="K33" s="25">
        <v>0</v>
      </c>
      <c r="L33" s="25" t="s">
        <v>140</v>
      </c>
      <c r="M33" s="196">
        <v>0</v>
      </c>
      <c r="N33" s="25">
        <v>0</v>
      </c>
      <c r="O33" s="35">
        <v>70</v>
      </c>
      <c r="P33" s="25">
        <v>0</v>
      </c>
      <c r="Q33" s="25">
        <v>0.5</v>
      </c>
      <c r="R33" s="25" t="s">
        <v>40</v>
      </c>
      <c r="S33" s="25">
        <v>0</v>
      </c>
      <c r="T33" s="25">
        <v>1</v>
      </c>
      <c r="U33" s="25" t="s">
        <v>40</v>
      </c>
      <c r="V33" s="25">
        <v>0</v>
      </c>
      <c r="W33" s="25">
        <v>1</v>
      </c>
      <c r="X33" s="25" t="s">
        <v>40</v>
      </c>
      <c r="Y33" s="25">
        <v>0</v>
      </c>
      <c r="Z33" s="25">
        <v>1</v>
      </c>
      <c r="AA33" s="25" t="s">
        <v>40</v>
      </c>
      <c r="AB33" s="25">
        <v>0</v>
      </c>
      <c r="AC33" s="25">
        <v>1</v>
      </c>
      <c r="AD33" s="25" t="s">
        <v>40</v>
      </c>
      <c r="AE33" s="25">
        <v>0</v>
      </c>
      <c r="AF33" s="25">
        <v>1</v>
      </c>
      <c r="AG33" s="25" t="s">
        <v>40</v>
      </c>
      <c r="AH33" s="25">
        <v>0</v>
      </c>
      <c r="AI33" s="25">
        <v>1</v>
      </c>
      <c r="AJ33" s="25">
        <v>0</v>
      </c>
      <c r="AK33" s="25" t="s">
        <v>40</v>
      </c>
      <c r="AL33" s="25">
        <v>0</v>
      </c>
      <c r="AM33" s="25">
        <v>1</v>
      </c>
      <c r="AN33" s="25" t="s">
        <v>98</v>
      </c>
      <c r="AO33" s="25">
        <v>0</v>
      </c>
      <c r="AP33" s="35">
        <v>70</v>
      </c>
      <c r="AQ33" s="25" t="s">
        <v>106</v>
      </c>
      <c r="AR33" s="6" t="s">
        <v>2</v>
      </c>
      <c r="AS33" s="25" t="s">
        <v>1</v>
      </c>
      <c r="AT33" s="6" t="str">
        <f>$A$3&amp;"."&amp;"HZ1AI_CV"</f>
        <v>BXX_PRM1.HZ1AI_CV</v>
      </c>
      <c r="AU33" s="25" t="s">
        <v>1</v>
      </c>
      <c r="AV33" s="6" t="str">
        <f t="shared" si="3"/>
        <v>Location Power Monitor Last Cycle Frequency</v>
      </c>
      <c r="AW33" s="25">
        <v>0</v>
      </c>
      <c r="AX33" s="25">
        <v>0</v>
      </c>
      <c r="AY33" s="25">
        <v>0</v>
      </c>
      <c r="AZ33" s="25">
        <v>0</v>
      </c>
      <c r="BA33" s="25">
        <v>0</v>
      </c>
      <c r="BB33" s="25">
        <v>0</v>
      </c>
      <c r="BC33" s="25">
        <v>0</v>
      </c>
      <c r="BD33" s="25">
        <v>0</v>
      </c>
    </row>
    <row r="34" spans="1:56" x14ac:dyDescent="0.25">
      <c r="A34" s="6" t="str">
        <f>$A$3&amp;"_"&amp;"JI1"&amp;"_"&amp;"AI_CV"</f>
        <v>BXX_PRM1_JI1_AI_CV</v>
      </c>
      <c r="B34" s="6" t="str">
        <f t="shared" si="2"/>
        <v>BXX_PRM1</v>
      </c>
      <c r="C34" s="6" t="str">
        <f>$C$3 &amp; " Line 1 Real Power"</f>
        <v>Location Power Monitor Line 1 Real Power</v>
      </c>
      <c r="D34" s="4">
        <f t="shared" ref="D34:D40" si="7">LEN(C34)</f>
        <v>40</v>
      </c>
      <c r="E34" s="29" t="s">
        <v>0</v>
      </c>
      <c r="F34" s="29" t="s">
        <v>1</v>
      </c>
      <c r="G34" s="29">
        <v>0</v>
      </c>
      <c r="H34" s="29" t="s">
        <v>0</v>
      </c>
      <c r="I34" s="29" t="s">
        <v>1</v>
      </c>
      <c r="J34" s="29">
        <v>0</v>
      </c>
      <c r="K34" s="29">
        <v>0</v>
      </c>
      <c r="L34" s="29" t="s">
        <v>141</v>
      </c>
      <c r="M34" s="196">
        <v>0</v>
      </c>
      <c r="N34" s="36">
        <v>-1.00000003E+16</v>
      </c>
      <c r="O34" s="36">
        <v>1.00000003E+16</v>
      </c>
      <c r="P34" s="29">
        <v>0</v>
      </c>
      <c r="Q34" s="29">
        <v>1</v>
      </c>
      <c r="R34" s="29" t="s">
        <v>40</v>
      </c>
      <c r="S34" s="29">
        <v>0</v>
      </c>
      <c r="T34" s="29">
        <v>1</v>
      </c>
      <c r="U34" s="29" t="s">
        <v>40</v>
      </c>
      <c r="V34" s="29">
        <v>0</v>
      </c>
      <c r="W34" s="29">
        <v>1</v>
      </c>
      <c r="X34" s="29" t="s">
        <v>40</v>
      </c>
      <c r="Y34" s="29">
        <v>0</v>
      </c>
      <c r="Z34" s="29">
        <v>1</v>
      </c>
      <c r="AA34" s="29" t="s">
        <v>40</v>
      </c>
      <c r="AB34" s="29">
        <v>0</v>
      </c>
      <c r="AC34" s="29">
        <v>1</v>
      </c>
      <c r="AD34" s="29" t="s">
        <v>40</v>
      </c>
      <c r="AE34" s="29">
        <v>0</v>
      </c>
      <c r="AF34" s="29">
        <v>1</v>
      </c>
      <c r="AG34" s="29" t="s">
        <v>40</v>
      </c>
      <c r="AH34" s="29">
        <v>0</v>
      </c>
      <c r="AI34" s="29">
        <v>1</v>
      </c>
      <c r="AJ34" s="29">
        <v>0</v>
      </c>
      <c r="AK34" s="29" t="s">
        <v>40</v>
      </c>
      <c r="AL34" s="29">
        <v>0</v>
      </c>
      <c r="AM34" s="29">
        <v>1</v>
      </c>
      <c r="AN34" s="29" t="s">
        <v>98</v>
      </c>
      <c r="AO34" s="36">
        <v>-1.00000003E+16</v>
      </c>
      <c r="AP34" s="36">
        <v>1.00000003E+16</v>
      </c>
      <c r="AQ34" s="29" t="s">
        <v>106</v>
      </c>
      <c r="AR34" s="6" t="s">
        <v>2</v>
      </c>
      <c r="AS34" s="29" t="s">
        <v>1</v>
      </c>
      <c r="AT34" s="6" t="str">
        <f>$A$3&amp;"."&amp;"JI1AI_CV"</f>
        <v>BXX_PRM1.JI1AI_CV</v>
      </c>
      <c r="AU34" s="29" t="s">
        <v>1</v>
      </c>
      <c r="AV34" s="6" t="str">
        <f t="shared" ref="AV34:AV40" si="8">C34</f>
        <v>Location Power Monitor Line 1 Real Power</v>
      </c>
      <c r="AW34" s="29">
        <v>0</v>
      </c>
      <c r="AX34" s="29">
        <v>0</v>
      </c>
      <c r="AY34" s="29">
        <v>0</v>
      </c>
      <c r="AZ34" s="29">
        <v>0</v>
      </c>
      <c r="BA34" s="29">
        <v>0</v>
      </c>
      <c r="BB34" s="29">
        <v>0</v>
      </c>
      <c r="BC34" s="29">
        <v>0</v>
      </c>
      <c r="BD34" s="29">
        <v>0</v>
      </c>
    </row>
    <row r="35" spans="1:56" x14ac:dyDescent="0.25">
      <c r="A35" s="6" t="str">
        <f>$A$3&amp;"_"&amp;"JI2"&amp;"_"&amp;"AI_CV"</f>
        <v>BXX_PRM1_JI2_AI_CV</v>
      </c>
      <c r="B35" s="6" t="str">
        <f t="shared" si="2"/>
        <v>BXX_PRM1</v>
      </c>
      <c r="C35" s="6" t="str">
        <f>$C$3 &amp; " Line 2 Real Power"</f>
        <v>Location Power Monitor Line 2 Real Power</v>
      </c>
      <c r="D35" s="4">
        <f t="shared" si="7"/>
        <v>40</v>
      </c>
      <c r="E35" s="30" t="s">
        <v>0</v>
      </c>
      <c r="F35" s="30" t="s">
        <v>1</v>
      </c>
      <c r="G35" s="30">
        <v>0</v>
      </c>
      <c r="H35" s="30" t="s">
        <v>0</v>
      </c>
      <c r="I35" s="30" t="s">
        <v>1</v>
      </c>
      <c r="J35" s="30">
        <v>0</v>
      </c>
      <c r="K35" s="30">
        <v>0</v>
      </c>
      <c r="L35" s="30" t="s">
        <v>141</v>
      </c>
      <c r="M35" s="196">
        <v>0</v>
      </c>
      <c r="N35" s="36">
        <v>-1.00000003E+16</v>
      </c>
      <c r="O35" s="36">
        <v>1.00000003E+16</v>
      </c>
      <c r="P35" s="30">
        <v>0</v>
      </c>
      <c r="Q35" s="30">
        <v>1</v>
      </c>
      <c r="R35" s="30" t="s">
        <v>40</v>
      </c>
      <c r="S35" s="30">
        <v>0</v>
      </c>
      <c r="T35" s="30">
        <v>1</v>
      </c>
      <c r="U35" s="30" t="s">
        <v>40</v>
      </c>
      <c r="V35" s="30">
        <v>0</v>
      </c>
      <c r="W35" s="30">
        <v>1</v>
      </c>
      <c r="X35" s="30" t="s">
        <v>40</v>
      </c>
      <c r="Y35" s="30">
        <v>0</v>
      </c>
      <c r="Z35" s="30">
        <v>1</v>
      </c>
      <c r="AA35" s="30" t="s">
        <v>40</v>
      </c>
      <c r="AB35" s="30">
        <v>0</v>
      </c>
      <c r="AC35" s="30">
        <v>1</v>
      </c>
      <c r="AD35" s="30" t="s">
        <v>40</v>
      </c>
      <c r="AE35" s="30">
        <v>0</v>
      </c>
      <c r="AF35" s="30">
        <v>1</v>
      </c>
      <c r="AG35" s="30" t="s">
        <v>40</v>
      </c>
      <c r="AH35" s="30">
        <v>0</v>
      </c>
      <c r="AI35" s="30">
        <v>1</v>
      </c>
      <c r="AJ35" s="30">
        <v>0</v>
      </c>
      <c r="AK35" s="30" t="s">
        <v>40</v>
      </c>
      <c r="AL35" s="30">
        <v>0</v>
      </c>
      <c r="AM35" s="30">
        <v>1</v>
      </c>
      <c r="AN35" s="30" t="s">
        <v>98</v>
      </c>
      <c r="AO35" s="36">
        <v>-1.00000003E+16</v>
      </c>
      <c r="AP35" s="36">
        <v>1.00000003E+16</v>
      </c>
      <c r="AQ35" s="30" t="s">
        <v>106</v>
      </c>
      <c r="AR35" s="6" t="s">
        <v>2</v>
      </c>
      <c r="AS35" s="30" t="s">
        <v>1</v>
      </c>
      <c r="AT35" s="6" t="str">
        <f>$A$3&amp;"."&amp;"JI2AI_CV"</f>
        <v>BXX_PRM1.JI2AI_CV</v>
      </c>
      <c r="AU35" s="30" t="s">
        <v>1</v>
      </c>
      <c r="AV35" s="6" t="str">
        <f t="shared" si="8"/>
        <v>Location Power Monitor Line 2 Real Power</v>
      </c>
      <c r="AW35" s="30">
        <v>0</v>
      </c>
      <c r="AX35" s="30">
        <v>0</v>
      </c>
      <c r="AY35" s="30">
        <v>0</v>
      </c>
      <c r="AZ35" s="30">
        <v>0</v>
      </c>
      <c r="BA35" s="30">
        <v>0</v>
      </c>
      <c r="BB35" s="30">
        <v>0</v>
      </c>
      <c r="BC35" s="30">
        <v>0</v>
      </c>
      <c r="BD35" s="30">
        <v>0</v>
      </c>
    </row>
    <row r="36" spans="1:56" x14ac:dyDescent="0.25">
      <c r="A36" s="6" t="str">
        <f>$A$3&amp;"_"&amp;"JI3"&amp;"_"&amp;"AI_CV"</f>
        <v>BXX_PRM1_JI3_AI_CV</v>
      </c>
      <c r="B36" s="6" t="str">
        <f t="shared" si="2"/>
        <v>BXX_PRM1</v>
      </c>
      <c r="C36" s="6" t="str">
        <f>$C$3 &amp; " Line 3 Real Power"</f>
        <v>Location Power Monitor Line 3 Real Power</v>
      </c>
      <c r="D36" s="4">
        <f t="shared" si="7"/>
        <v>40</v>
      </c>
      <c r="E36" s="30" t="s">
        <v>0</v>
      </c>
      <c r="F36" s="30" t="s">
        <v>1</v>
      </c>
      <c r="G36" s="30">
        <v>0</v>
      </c>
      <c r="H36" s="30" t="s">
        <v>0</v>
      </c>
      <c r="I36" s="30" t="s">
        <v>1</v>
      </c>
      <c r="J36" s="30">
        <v>0</v>
      </c>
      <c r="K36" s="30">
        <v>0</v>
      </c>
      <c r="L36" s="30" t="s">
        <v>141</v>
      </c>
      <c r="M36" s="196">
        <v>0</v>
      </c>
      <c r="N36" s="36">
        <v>-1.00000003E+16</v>
      </c>
      <c r="O36" s="36">
        <v>1.00000003E+16</v>
      </c>
      <c r="P36" s="30">
        <v>0</v>
      </c>
      <c r="Q36" s="30">
        <v>1</v>
      </c>
      <c r="R36" s="30" t="s">
        <v>40</v>
      </c>
      <c r="S36" s="30">
        <v>0</v>
      </c>
      <c r="T36" s="30">
        <v>1</v>
      </c>
      <c r="U36" s="30" t="s">
        <v>40</v>
      </c>
      <c r="V36" s="30">
        <v>0</v>
      </c>
      <c r="W36" s="30">
        <v>1</v>
      </c>
      <c r="X36" s="30" t="s">
        <v>40</v>
      </c>
      <c r="Y36" s="30">
        <v>0</v>
      </c>
      <c r="Z36" s="30">
        <v>1</v>
      </c>
      <c r="AA36" s="30" t="s">
        <v>40</v>
      </c>
      <c r="AB36" s="30">
        <v>0</v>
      </c>
      <c r="AC36" s="30">
        <v>1</v>
      </c>
      <c r="AD36" s="30" t="s">
        <v>40</v>
      </c>
      <c r="AE36" s="30">
        <v>0</v>
      </c>
      <c r="AF36" s="30">
        <v>1</v>
      </c>
      <c r="AG36" s="30" t="s">
        <v>40</v>
      </c>
      <c r="AH36" s="30">
        <v>0</v>
      </c>
      <c r="AI36" s="30">
        <v>1</v>
      </c>
      <c r="AJ36" s="30">
        <v>0</v>
      </c>
      <c r="AK36" s="30" t="s">
        <v>40</v>
      </c>
      <c r="AL36" s="30">
        <v>0</v>
      </c>
      <c r="AM36" s="30">
        <v>1</v>
      </c>
      <c r="AN36" s="30" t="s">
        <v>98</v>
      </c>
      <c r="AO36" s="36">
        <v>-1.00000003E+16</v>
      </c>
      <c r="AP36" s="36">
        <v>1.00000003E+16</v>
      </c>
      <c r="AQ36" s="30" t="s">
        <v>106</v>
      </c>
      <c r="AR36" s="6" t="s">
        <v>2</v>
      </c>
      <c r="AS36" s="30" t="s">
        <v>1</v>
      </c>
      <c r="AT36" s="6" t="str">
        <f>$A$3&amp;"."&amp;"JI3AI_CV"</f>
        <v>BXX_PRM1.JI3AI_CV</v>
      </c>
      <c r="AU36" s="30" t="s">
        <v>1</v>
      </c>
      <c r="AV36" s="6" t="str">
        <f t="shared" si="8"/>
        <v>Location Power Monitor Line 3 Real Power</v>
      </c>
      <c r="AW36" s="30">
        <v>0</v>
      </c>
      <c r="AX36" s="30">
        <v>0</v>
      </c>
      <c r="AY36" s="30">
        <v>0</v>
      </c>
      <c r="AZ36" s="30">
        <v>0</v>
      </c>
      <c r="BA36" s="30">
        <v>0</v>
      </c>
      <c r="BB36" s="30">
        <v>0</v>
      </c>
      <c r="BC36" s="30">
        <v>0</v>
      </c>
      <c r="BD36" s="30">
        <v>0</v>
      </c>
    </row>
    <row r="37" spans="1:56" x14ac:dyDescent="0.25">
      <c r="A37" s="6" t="str">
        <f>$A$3&amp;"_"&amp;"J4"&amp;"_"&amp;"AI_CV"</f>
        <v>BXX_PRM1_J4_AI_CV</v>
      </c>
      <c r="B37" s="6" t="str">
        <f t="shared" si="2"/>
        <v>BXX_PRM1</v>
      </c>
      <c r="C37" s="6" t="str">
        <f>$C$3 &amp; " Total Real Power"</f>
        <v>Location Power Monitor Total Real Power</v>
      </c>
      <c r="D37" s="4">
        <f t="shared" si="7"/>
        <v>39</v>
      </c>
      <c r="E37" s="30" t="s">
        <v>0</v>
      </c>
      <c r="F37" s="30" t="s">
        <v>1</v>
      </c>
      <c r="G37" s="30">
        <v>0</v>
      </c>
      <c r="H37" s="30" t="s">
        <v>0</v>
      </c>
      <c r="I37" s="30" t="s">
        <v>1</v>
      </c>
      <c r="J37" s="30">
        <v>0</v>
      </c>
      <c r="K37" s="30">
        <v>0</v>
      </c>
      <c r="L37" s="30" t="s">
        <v>141</v>
      </c>
      <c r="M37" s="196">
        <v>0</v>
      </c>
      <c r="N37" s="36">
        <v>-1.00000003E+16</v>
      </c>
      <c r="O37" s="31">
        <v>1.00000003E+16</v>
      </c>
      <c r="P37" s="30">
        <v>0</v>
      </c>
      <c r="Q37" s="30">
        <v>1</v>
      </c>
      <c r="R37" s="30" t="s">
        <v>40</v>
      </c>
      <c r="S37" s="30">
        <v>0</v>
      </c>
      <c r="T37" s="30">
        <v>1</v>
      </c>
      <c r="U37" s="30" t="s">
        <v>40</v>
      </c>
      <c r="V37" s="30">
        <v>0</v>
      </c>
      <c r="W37" s="30">
        <v>1</v>
      </c>
      <c r="X37" s="30" t="s">
        <v>40</v>
      </c>
      <c r="Y37" s="30">
        <v>0</v>
      </c>
      <c r="Z37" s="30">
        <v>1</v>
      </c>
      <c r="AA37" s="30" t="s">
        <v>40</v>
      </c>
      <c r="AB37" s="30">
        <v>0</v>
      </c>
      <c r="AC37" s="30">
        <v>1</v>
      </c>
      <c r="AD37" s="30" t="s">
        <v>40</v>
      </c>
      <c r="AE37" s="30">
        <v>0</v>
      </c>
      <c r="AF37" s="30">
        <v>1</v>
      </c>
      <c r="AG37" s="30" t="s">
        <v>40</v>
      </c>
      <c r="AH37" s="30">
        <v>0</v>
      </c>
      <c r="AI37" s="30">
        <v>1</v>
      </c>
      <c r="AJ37" s="30">
        <v>0</v>
      </c>
      <c r="AK37" s="30" t="s">
        <v>40</v>
      </c>
      <c r="AL37" s="30">
        <v>0</v>
      </c>
      <c r="AM37" s="30">
        <v>1</v>
      </c>
      <c r="AN37" s="30" t="s">
        <v>98</v>
      </c>
      <c r="AO37" s="36">
        <v>-1.00000003E+16</v>
      </c>
      <c r="AP37" s="31">
        <v>1.00000003E+16</v>
      </c>
      <c r="AQ37" s="30" t="s">
        <v>106</v>
      </c>
      <c r="AR37" s="6" t="s">
        <v>2</v>
      </c>
      <c r="AS37" s="30" t="s">
        <v>1</v>
      </c>
      <c r="AT37" s="6" t="str">
        <f>$A$3&amp;"."&amp;"J4AI_CV"</f>
        <v>BXX_PRM1.J4AI_CV</v>
      </c>
      <c r="AU37" s="30" t="s">
        <v>1</v>
      </c>
      <c r="AV37" s="6" t="str">
        <f t="shared" si="8"/>
        <v>Location Power Monitor Total Real Power</v>
      </c>
      <c r="AW37" s="30">
        <v>0</v>
      </c>
      <c r="AX37" s="30">
        <v>0</v>
      </c>
      <c r="AY37" s="30">
        <v>0</v>
      </c>
      <c r="AZ37" s="30">
        <v>0</v>
      </c>
      <c r="BA37" s="30">
        <v>0</v>
      </c>
      <c r="BB37" s="30">
        <v>0</v>
      </c>
      <c r="BC37" s="30">
        <v>0</v>
      </c>
      <c r="BD37" s="30">
        <v>0</v>
      </c>
    </row>
    <row r="38" spans="1:56" x14ac:dyDescent="0.25">
      <c r="A38" s="6" t="str">
        <f>$A$3&amp;"_"&amp;"JI5"&amp;"_"&amp;"AI_CV"</f>
        <v>BXX_PRM1_JI5_AI_CV</v>
      </c>
      <c r="B38" s="6" t="str">
        <f t="shared" si="2"/>
        <v>BXX_PRM1</v>
      </c>
      <c r="C38" s="6" t="str">
        <f>$C$3 &amp; " Total Reactive Power"</f>
        <v>Location Power Monitor Total Reactive Power</v>
      </c>
      <c r="D38" s="4">
        <f t="shared" si="7"/>
        <v>43</v>
      </c>
      <c r="E38" s="30" t="s">
        <v>0</v>
      </c>
      <c r="F38" s="30" t="s">
        <v>1</v>
      </c>
      <c r="G38" s="30">
        <v>0</v>
      </c>
      <c r="H38" s="30" t="s">
        <v>0</v>
      </c>
      <c r="I38" s="30" t="s">
        <v>1</v>
      </c>
      <c r="J38" s="30">
        <v>0</v>
      </c>
      <c r="K38" s="30">
        <v>0</v>
      </c>
      <c r="L38" s="30" t="s">
        <v>142</v>
      </c>
      <c r="M38" s="196">
        <v>0</v>
      </c>
      <c r="N38" s="36">
        <v>-1.00000003E+16</v>
      </c>
      <c r="O38" s="31">
        <v>1.00000003E+16</v>
      </c>
      <c r="P38" s="30">
        <v>0</v>
      </c>
      <c r="Q38" s="30">
        <v>1</v>
      </c>
      <c r="R38" s="30" t="s">
        <v>40</v>
      </c>
      <c r="S38" s="30">
        <v>0</v>
      </c>
      <c r="T38" s="30">
        <v>1</v>
      </c>
      <c r="U38" s="30" t="s">
        <v>40</v>
      </c>
      <c r="V38" s="30">
        <v>0</v>
      </c>
      <c r="W38" s="30">
        <v>1</v>
      </c>
      <c r="X38" s="30" t="s">
        <v>40</v>
      </c>
      <c r="Y38" s="30">
        <v>0</v>
      </c>
      <c r="Z38" s="30">
        <v>1</v>
      </c>
      <c r="AA38" s="30" t="s">
        <v>40</v>
      </c>
      <c r="AB38" s="30">
        <v>0</v>
      </c>
      <c r="AC38" s="30">
        <v>1</v>
      </c>
      <c r="AD38" s="30" t="s">
        <v>40</v>
      </c>
      <c r="AE38" s="30">
        <v>0</v>
      </c>
      <c r="AF38" s="30">
        <v>1</v>
      </c>
      <c r="AG38" s="30" t="s">
        <v>40</v>
      </c>
      <c r="AH38" s="30">
        <v>0</v>
      </c>
      <c r="AI38" s="30">
        <v>1</v>
      </c>
      <c r="AJ38" s="30">
        <v>0</v>
      </c>
      <c r="AK38" s="30" t="s">
        <v>40</v>
      </c>
      <c r="AL38" s="30">
        <v>0</v>
      </c>
      <c r="AM38" s="30">
        <v>1</v>
      </c>
      <c r="AN38" s="30" t="s">
        <v>98</v>
      </c>
      <c r="AO38" s="36">
        <v>-1.00000003E+16</v>
      </c>
      <c r="AP38" s="31">
        <v>1.00000003E+16</v>
      </c>
      <c r="AQ38" s="30" t="s">
        <v>106</v>
      </c>
      <c r="AR38" s="6" t="s">
        <v>2</v>
      </c>
      <c r="AS38" s="30" t="s">
        <v>1</v>
      </c>
      <c r="AT38" s="6" t="str">
        <f>$A$3&amp;"."&amp;"JI5AI_CV"</f>
        <v>BXX_PRM1.JI5AI_CV</v>
      </c>
      <c r="AU38" s="30" t="s">
        <v>1</v>
      </c>
      <c r="AV38" s="6" t="str">
        <f t="shared" si="8"/>
        <v>Location Power Monitor Total Reactive Power</v>
      </c>
      <c r="AW38" s="30">
        <v>0</v>
      </c>
      <c r="AX38" s="30">
        <v>0</v>
      </c>
      <c r="AY38" s="30">
        <v>0</v>
      </c>
      <c r="AZ38" s="30">
        <v>0</v>
      </c>
      <c r="BA38" s="30">
        <v>0</v>
      </c>
      <c r="BB38" s="30">
        <v>0</v>
      </c>
      <c r="BC38" s="30">
        <v>0</v>
      </c>
      <c r="BD38" s="30">
        <v>0</v>
      </c>
    </row>
    <row r="39" spans="1:56" x14ac:dyDescent="0.25">
      <c r="A39" s="6" t="str">
        <f>$A$3&amp;"_"&amp;"RP1"&amp;"_"&amp;"AI_CV"</f>
        <v>BXX_PRM1_RP1_AI_CV</v>
      </c>
      <c r="B39" s="6" t="str">
        <f t="shared" si="2"/>
        <v>BXX_PRM1</v>
      </c>
      <c r="C39" s="6" t="str">
        <f>$C$3 &amp; " True Power Factor"</f>
        <v>Location Power Monitor True Power Factor</v>
      </c>
      <c r="D39" s="4">
        <f t="shared" si="7"/>
        <v>40</v>
      </c>
      <c r="E39" s="30" t="s">
        <v>0</v>
      </c>
      <c r="F39" s="30" t="s">
        <v>1</v>
      </c>
      <c r="G39" s="30">
        <v>0</v>
      </c>
      <c r="H39" s="30" t="s">
        <v>0</v>
      </c>
      <c r="I39" s="30" t="s">
        <v>1</v>
      </c>
      <c r="J39" s="30">
        <v>0</v>
      </c>
      <c r="K39" s="30">
        <v>0</v>
      </c>
      <c r="L39" s="30" t="s">
        <v>99</v>
      </c>
      <c r="M39" s="196">
        <v>0</v>
      </c>
      <c r="N39" s="35">
        <v>0</v>
      </c>
      <c r="O39" s="35">
        <v>100</v>
      </c>
      <c r="P39" s="30">
        <v>0</v>
      </c>
      <c r="Q39" s="30">
        <v>0.1</v>
      </c>
      <c r="R39" s="30" t="s">
        <v>40</v>
      </c>
      <c r="S39" s="30">
        <v>0</v>
      </c>
      <c r="T39" s="30">
        <v>1</v>
      </c>
      <c r="U39" s="30" t="s">
        <v>40</v>
      </c>
      <c r="V39" s="30">
        <v>0</v>
      </c>
      <c r="W39" s="30">
        <v>1</v>
      </c>
      <c r="X39" s="30" t="s">
        <v>40</v>
      </c>
      <c r="Y39" s="30">
        <v>0</v>
      </c>
      <c r="Z39" s="30">
        <v>1</v>
      </c>
      <c r="AA39" s="30" t="s">
        <v>40</v>
      </c>
      <c r="AB39" s="30">
        <v>0</v>
      </c>
      <c r="AC39" s="30">
        <v>1</v>
      </c>
      <c r="AD39" s="30" t="s">
        <v>40</v>
      </c>
      <c r="AE39" s="30">
        <v>0</v>
      </c>
      <c r="AF39" s="30">
        <v>1</v>
      </c>
      <c r="AG39" s="30" t="s">
        <v>40</v>
      </c>
      <c r="AH39" s="30">
        <v>0</v>
      </c>
      <c r="AI39" s="30">
        <v>1</v>
      </c>
      <c r="AJ39" s="30">
        <v>0</v>
      </c>
      <c r="AK39" s="30" t="s">
        <v>40</v>
      </c>
      <c r="AL39" s="30">
        <v>0</v>
      </c>
      <c r="AM39" s="30">
        <v>1</v>
      </c>
      <c r="AN39" s="30" t="s">
        <v>98</v>
      </c>
      <c r="AO39" s="35">
        <v>0</v>
      </c>
      <c r="AP39" s="35">
        <v>100</v>
      </c>
      <c r="AQ39" s="30" t="s">
        <v>106</v>
      </c>
      <c r="AR39" s="6" t="s">
        <v>2</v>
      </c>
      <c r="AS39" s="30" t="s">
        <v>1</v>
      </c>
      <c r="AT39" s="6" t="str">
        <f>$A$3&amp;"."&amp;"RP1AI_CV"</f>
        <v>BXX_PRM1.RP1AI_CV</v>
      </c>
      <c r="AU39" s="30" t="s">
        <v>1</v>
      </c>
      <c r="AV39" s="6" t="str">
        <f t="shared" si="8"/>
        <v>Location Power Monitor True Power Factor</v>
      </c>
      <c r="AW39" s="30">
        <v>0</v>
      </c>
      <c r="AX39" s="30">
        <v>0</v>
      </c>
      <c r="AY39" s="30">
        <v>0</v>
      </c>
      <c r="AZ39" s="30">
        <v>0</v>
      </c>
      <c r="BA39" s="30">
        <v>0</v>
      </c>
      <c r="BB39" s="30">
        <v>0</v>
      </c>
      <c r="BC39" s="30">
        <v>0</v>
      </c>
      <c r="BD39" s="30">
        <v>0</v>
      </c>
    </row>
    <row r="40" spans="1:56" x14ac:dyDescent="0.25">
      <c r="A40" s="6" t="str">
        <f>$A$3&amp;"_"&amp;"JH3"&amp;"_"&amp;"AI_CV"</f>
        <v>BXX_PRM1_JH3_AI_CV</v>
      </c>
      <c r="B40" s="6" t="str">
        <f t="shared" si="2"/>
        <v>BXX_PRM1</v>
      </c>
      <c r="C40" s="6" t="str">
        <f>$C$3 &amp; " Net Real Power Consumed"</f>
        <v>Location Power Monitor Net Real Power Consumed</v>
      </c>
      <c r="D40" s="4">
        <f t="shared" si="7"/>
        <v>46</v>
      </c>
      <c r="E40" s="27" t="s">
        <v>0</v>
      </c>
      <c r="F40" s="27" t="s">
        <v>1</v>
      </c>
      <c r="G40" s="27">
        <v>0</v>
      </c>
      <c r="H40" s="27" t="s">
        <v>0</v>
      </c>
      <c r="I40" s="27" t="s">
        <v>1</v>
      </c>
      <c r="J40" s="27">
        <v>0</v>
      </c>
      <c r="K40" s="27">
        <v>0</v>
      </c>
      <c r="L40" s="27" t="s">
        <v>138</v>
      </c>
      <c r="M40" s="196">
        <v>0</v>
      </c>
      <c r="N40" s="35">
        <v>-10000000</v>
      </c>
      <c r="O40" s="35">
        <v>10000000</v>
      </c>
      <c r="P40" s="27">
        <v>0</v>
      </c>
      <c r="Q40" s="27">
        <v>1</v>
      </c>
      <c r="R40" s="27" t="s">
        <v>40</v>
      </c>
      <c r="S40" s="27">
        <v>0</v>
      </c>
      <c r="T40" s="27">
        <v>1</v>
      </c>
      <c r="U40" s="27" t="s">
        <v>40</v>
      </c>
      <c r="V40" s="27">
        <v>0</v>
      </c>
      <c r="W40" s="27">
        <v>1</v>
      </c>
      <c r="X40" s="27" t="s">
        <v>40</v>
      </c>
      <c r="Y40" s="27">
        <v>0</v>
      </c>
      <c r="Z40" s="27">
        <v>1</v>
      </c>
      <c r="AA40" s="27" t="s">
        <v>40</v>
      </c>
      <c r="AB40" s="27">
        <v>0</v>
      </c>
      <c r="AC40" s="27">
        <v>1</v>
      </c>
      <c r="AD40" s="27" t="s">
        <v>40</v>
      </c>
      <c r="AE40" s="27">
        <v>0</v>
      </c>
      <c r="AF40" s="27">
        <v>1</v>
      </c>
      <c r="AG40" s="27" t="s">
        <v>40</v>
      </c>
      <c r="AH40" s="27">
        <v>0</v>
      </c>
      <c r="AI40" s="27">
        <v>1</v>
      </c>
      <c r="AJ40" s="27">
        <v>0</v>
      </c>
      <c r="AK40" s="27" t="s">
        <v>40</v>
      </c>
      <c r="AL40" s="27">
        <v>0</v>
      </c>
      <c r="AM40" s="27">
        <v>1</v>
      </c>
      <c r="AN40" s="27" t="s">
        <v>98</v>
      </c>
      <c r="AO40" s="35">
        <v>-10000000</v>
      </c>
      <c r="AP40" s="35">
        <v>10000000</v>
      </c>
      <c r="AQ40" s="27" t="s">
        <v>106</v>
      </c>
      <c r="AR40" s="6" t="s">
        <v>2</v>
      </c>
      <c r="AS40" s="27" t="s">
        <v>1</v>
      </c>
      <c r="AT40" s="6" t="str">
        <f>$A$3&amp;"."&amp;"JH3AI_CV"</f>
        <v>BXX_PRM1.JH3AI_CV</v>
      </c>
      <c r="AU40" s="27" t="s">
        <v>1</v>
      </c>
      <c r="AV40" s="6" t="str">
        <f t="shared" si="8"/>
        <v>Location Power Monitor Net Real Power Consumed</v>
      </c>
      <c r="AW40" s="27">
        <v>0</v>
      </c>
      <c r="AX40" s="27">
        <v>0</v>
      </c>
      <c r="AY40" s="27">
        <v>0</v>
      </c>
      <c r="AZ40" s="27">
        <v>0</v>
      </c>
      <c r="BA40" s="27">
        <v>0</v>
      </c>
      <c r="BB40" s="27">
        <v>0</v>
      </c>
      <c r="BC40" s="27">
        <v>0</v>
      </c>
      <c r="BD40" s="27">
        <v>0</v>
      </c>
    </row>
    <row r="41" spans="1:56" s="262" customFormat="1" x14ac:dyDescent="0.25">
      <c r="A41" s="6" t="str">
        <f>$A$3&amp;"_"&amp;"JH1"&amp;"_"&amp;"AI_CV"</f>
        <v>BXX_PRM1_JH1_AI_CV</v>
      </c>
      <c r="B41" s="6" t="str">
        <f t="shared" si="2"/>
        <v>BXX_PRM1</v>
      </c>
      <c r="C41" s="6" t="str">
        <f>$C$3 &amp; " Net Real Power Consumed"</f>
        <v>Location Power Monitor Net Real Power Consumed</v>
      </c>
      <c r="D41" s="4">
        <f t="shared" ref="D41" si="9">LEN(C41)</f>
        <v>46</v>
      </c>
      <c r="E41" s="262" t="s">
        <v>0</v>
      </c>
      <c r="F41" s="262" t="s">
        <v>1</v>
      </c>
      <c r="G41" s="262">
        <v>0</v>
      </c>
      <c r="H41" s="262" t="s">
        <v>0</v>
      </c>
      <c r="I41" s="262" t="s">
        <v>1</v>
      </c>
      <c r="J41" s="262">
        <v>0</v>
      </c>
      <c r="K41" s="262">
        <v>0</v>
      </c>
      <c r="L41" s="262" t="s">
        <v>525</v>
      </c>
      <c r="M41" s="262">
        <v>0</v>
      </c>
      <c r="N41" s="262">
        <v>-10000000</v>
      </c>
      <c r="O41" s="262">
        <v>10000000</v>
      </c>
      <c r="P41" s="262">
        <v>0</v>
      </c>
      <c r="Q41" s="262">
        <v>1</v>
      </c>
      <c r="R41" s="262" t="s">
        <v>40</v>
      </c>
      <c r="S41" s="262">
        <v>0</v>
      </c>
      <c r="T41" s="262">
        <v>1</v>
      </c>
      <c r="U41" s="262" t="s">
        <v>40</v>
      </c>
      <c r="V41" s="262">
        <v>0</v>
      </c>
      <c r="W41" s="262">
        <v>1</v>
      </c>
      <c r="X41" s="262" t="s">
        <v>40</v>
      </c>
      <c r="Y41" s="262">
        <v>0</v>
      </c>
      <c r="Z41" s="262">
        <v>1</v>
      </c>
      <c r="AA41" s="262" t="s">
        <v>40</v>
      </c>
      <c r="AB41" s="262">
        <v>0</v>
      </c>
      <c r="AC41" s="262">
        <v>1</v>
      </c>
      <c r="AD41" s="262" t="s">
        <v>40</v>
      </c>
      <c r="AE41" s="262">
        <v>0</v>
      </c>
      <c r="AF41" s="262">
        <v>1</v>
      </c>
      <c r="AG41" s="262" t="s">
        <v>40</v>
      </c>
      <c r="AH41" s="262">
        <v>0</v>
      </c>
      <c r="AI41" s="262">
        <v>1</v>
      </c>
      <c r="AJ41" s="262">
        <v>0</v>
      </c>
      <c r="AK41" s="262" t="s">
        <v>40</v>
      </c>
      <c r="AL41" s="262">
        <v>0</v>
      </c>
      <c r="AM41" s="262">
        <v>1</v>
      </c>
      <c r="AN41" s="262" t="s">
        <v>98</v>
      </c>
      <c r="AO41" s="262">
        <v>-10000000</v>
      </c>
      <c r="AP41" s="262">
        <v>10000000</v>
      </c>
      <c r="AQ41" s="262" t="s">
        <v>106</v>
      </c>
      <c r="AR41" s="6" t="s">
        <v>2</v>
      </c>
      <c r="AS41" s="262" t="s">
        <v>1</v>
      </c>
      <c r="AT41" s="6" t="str">
        <f>$A$3&amp;"."&amp;"JH1AI_CV"</f>
        <v>BXX_PRM1.JH1AI_CV</v>
      </c>
      <c r="AU41" s="262" t="s">
        <v>1</v>
      </c>
      <c r="AV41" s="6" t="str">
        <f t="shared" ref="AV41" si="10">C41</f>
        <v>Location Power Monitor Net Real Power Consumed</v>
      </c>
      <c r="AW41" s="262">
        <v>0</v>
      </c>
      <c r="AX41" s="262">
        <v>0</v>
      </c>
      <c r="AY41" s="262">
        <v>0</v>
      </c>
      <c r="AZ41" s="262">
        <v>0</v>
      </c>
      <c r="BA41" s="262">
        <v>0</v>
      </c>
      <c r="BB41" s="262">
        <v>0</v>
      </c>
      <c r="BC41" s="262">
        <v>0</v>
      </c>
      <c r="BD41" s="262">
        <v>0</v>
      </c>
    </row>
    <row r="42" spans="1:56" x14ac:dyDescent="0.25">
      <c r="A42" s="6" t="str">
        <f>$A$3&amp;"_"&amp;"JH4"&amp;"_"&amp;"AI_CV"</f>
        <v>BXX_PRM1_JH4_AI_CV</v>
      </c>
      <c r="B42" s="6" t="str">
        <f t="shared" si="2"/>
        <v>BXX_PRM1</v>
      </c>
      <c r="C42" s="6" t="str">
        <f>$C$3 &amp; " Net React Power Consumed"</f>
        <v>Location Power Monitor Net React Power Consumed</v>
      </c>
      <c r="D42" s="4">
        <f>LEN(C42)</f>
        <v>47</v>
      </c>
      <c r="E42" s="29" t="s">
        <v>0</v>
      </c>
      <c r="F42" s="29" t="s">
        <v>1</v>
      </c>
      <c r="G42" s="29">
        <v>0</v>
      </c>
      <c r="H42" s="29" t="s">
        <v>0</v>
      </c>
      <c r="I42" s="29" t="s">
        <v>1</v>
      </c>
      <c r="J42" s="29">
        <v>0</v>
      </c>
      <c r="K42" s="29">
        <v>0</v>
      </c>
      <c r="L42" s="29" t="s">
        <v>136</v>
      </c>
      <c r="M42" s="196">
        <v>0</v>
      </c>
      <c r="N42" s="35">
        <v>-10000000</v>
      </c>
      <c r="O42" s="35">
        <v>10000000</v>
      </c>
      <c r="P42" s="29">
        <v>0</v>
      </c>
      <c r="Q42" s="29">
        <v>1</v>
      </c>
      <c r="R42" s="29" t="s">
        <v>40</v>
      </c>
      <c r="S42" s="29">
        <v>0</v>
      </c>
      <c r="T42" s="29">
        <v>1</v>
      </c>
      <c r="U42" s="29" t="s">
        <v>40</v>
      </c>
      <c r="V42" s="29">
        <v>0</v>
      </c>
      <c r="W42" s="29">
        <v>1</v>
      </c>
      <c r="X42" s="29" t="s">
        <v>40</v>
      </c>
      <c r="Y42" s="29">
        <v>0</v>
      </c>
      <c r="Z42" s="29">
        <v>1</v>
      </c>
      <c r="AA42" s="29" t="s">
        <v>40</v>
      </c>
      <c r="AB42" s="29">
        <v>0</v>
      </c>
      <c r="AC42" s="29">
        <v>1</v>
      </c>
      <c r="AD42" s="29" t="s">
        <v>40</v>
      </c>
      <c r="AE42" s="29">
        <v>0</v>
      </c>
      <c r="AF42" s="29">
        <v>1</v>
      </c>
      <c r="AG42" s="29" t="s">
        <v>40</v>
      </c>
      <c r="AH42" s="29">
        <v>0</v>
      </c>
      <c r="AI42" s="29">
        <v>1</v>
      </c>
      <c r="AJ42" s="29">
        <v>0</v>
      </c>
      <c r="AK42" s="29" t="s">
        <v>40</v>
      </c>
      <c r="AL42" s="29">
        <v>0</v>
      </c>
      <c r="AM42" s="29">
        <v>1</v>
      </c>
      <c r="AN42" s="29" t="s">
        <v>98</v>
      </c>
      <c r="AO42" s="35">
        <v>-10000000</v>
      </c>
      <c r="AP42" s="35">
        <v>10000000</v>
      </c>
      <c r="AQ42" s="29" t="s">
        <v>106</v>
      </c>
      <c r="AR42" s="6" t="s">
        <v>2</v>
      </c>
      <c r="AS42" s="29" t="s">
        <v>1</v>
      </c>
      <c r="AT42" s="6" t="str">
        <f>$A$3&amp;"."&amp;"JH4AI_CV"</f>
        <v>BXX_PRM1.JH4AI_CV</v>
      </c>
      <c r="AU42" s="29" t="s">
        <v>1</v>
      </c>
      <c r="AV42" s="6" t="str">
        <f>C42</f>
        <v>Location Power Monitor Net React Power Consumed</v>
      </c>
      <c r="AW42" s="29">
        <v>0</v>
      </c>
      <c r="AX42" s="29">
        <v>0</v>
      </c>
      <c r="AY42" s="29">
        <v>0</v>
      </c>
      <c r="AZ42" s="29">
        <v>0</v>
      </c>
      <c r="BA42" s="29">
        <v>0</v>
      </c>
      <c r="BB42" s="29">
        <v>0</v>
      </c>
      <c r="BC42" s="29">
        <v>0</v>
      </c>
      <c r="BD42" s="29">
        <v>0</v>
      </c>
    </row>
    <row r="43" spans="1:56" s="262" customFormat="1" x14ac:dyDescent="0.25">
      <c r="A43" s="6" t="str">
        <f>$A$3&amp;"_"&amp;"JH2"&amp;"_"&amp;"AI_CV"</f>
        <v>BXX_PRM1_JH2_AI_CV</v>
      </c>
      <c r="B43" s="6" t="str">
        <f t="shared" si="2"/>
        <v>BXX_PRM1</v>
      </c>
      <c r="C43" s="6" t="str">
        <f>$C$3 &amp; " Net React Power Consumed"</f>
        <v>Location Power Monitor Net React Power Consumed</v>
      </c>
      <c r="D43" s="4">
        <f t="shared" ref="D43" si="11">LEN(C43)</f>
        <v>47</v>
      </c>
      <c r="E43" s="262" t="s">
        <v>0</v>
      </c>
      <c r="F43" s="262" t="s">
        <v>1</v>
      </c>
      <c r="G43" s="262">
        <v>0</v>
      </c>
      <c r="H43" s="262" t="s">
        <v>0</v>
      </c>
      <c r="I43" s="262" t="s">
        <v>1</v>
      </c>
      <c r="J43" s="262">
        <v>0</v>
      </c>
      <c r="K43" s="262">
        <v>0</v>
      </c>
      <c r="L43" s="262" t="s">
        <v>526</v>
      </c>
      <c r="M43" s="262">
        <v>0</v>
      </c>
      <c r="N43" s="262">
        <v>-10000000</v>
      </c>
      <c r="O43" s="262">
        <v>10000000</v>
      </c>
      <c r="P43" s="262">
        <v>0</v>
      </c>
      <c r="Q43" s="262">
        <v>1</v>
      </c>
      <c r="R43" s="262" t="s">
        <v>40</v>
      </c>
      <c r="S43" s="262">
        <v>0</v>
      </c>
      <c r="T43" s="262">
        <v>1</v>
      </c>
      <c r="U43" s="262" t="s">
        <v>40</v>
      </c>
      <c r="V43" s="262">
        <v>0</v>
      </c>
      <c r="W43" s="262">
        <v>1</v>
      </c>
      <c r="X43" s="262" t="s">
        <v>40</v>
      </c>
      <c r="Y43" s="262">
        <v>0</v>
      </c>
      <c r="Z43" s="262">
        <v>1</v>
      </c>
      <c r="AA43" s="262" t="s">
        <v>40</v>
      </c>
      <c r="AB43" s="262">
        <v>0</v>
      </c>
      <c r="AC43" s="262">
        <v>1</v>
      </c>
      <c r="AD43" s="262" t="s">
        <v>40</v>
      </c>
      <c r="AE43" s="262">
        <v>0</v>
      </c>
      <c r="AF43" s="262">
        <v>1</v>
      </c>
      <c r="AG43" s="262" t="s">
        <v>40</v>
      </c>
      <c r="AH43" s="262">
        <v>0</v>
      </c>
      <c r="AI43" s="262">
        <v>1</v>
      </c>
      <c r="AJ43" s="262">
        <v>0</v>
      </c>
      <c r="AK43" s="262" t="s">
        <v>40</v>
      </c>
      <c r="AL43" s="262">
        <v>0</v>
      </c>
      <c r="AM43" s="262">
        <v>1</v>
      </c>
      <c r="AN43" s="262" t="s">
        <v>98</v>
      </c>
      <c r="AO43" s="262">
        <v>-10000000</v>
      </c>
      <c r="AP43" s="262">
        <v>10000000</v>
      </c>
      <c r="AQ43" s="262" t="s">
        <v>106</v>
      </c>
      <c r="AR43" s="6" t="s">
        <v>2</v>
      </c>
      <c r="AS43" s="262" t="s">
        <v>1</v>
      </c>
      <c r="AT43" s="6" t="str">
        <f>$A$3&amp;"."&amp;"JH2AI_CV"</f>
        <v>BXX_PRM1.JH2AI_CV</v>
      </c>
      <c r="AU43" s="262" t="s">
        <v>1</v>
      </c>
      <c r="AV43" s="6" t="str">
        <f t="shared" ref="AV43" si="12">C43</f>
        <v>Location Power Monitor Net React Power Consumed</v>
      </c>
      <c r="AW43" s="262">
        <v>0</v>
      </c>
      <c r="AX43" s="262">
        <v>0</v>
      </c>
      <c r="AY43" s="262">
        <v>0</v>
      </c>
      <c r="AZ43" s="262">
        <v>0</v>
      </c>
      <c r="BA43" s="262">
        <v>0</v>
      </c>
      <c r="BB43" s="262">
        <v>0</v>
      </c>
      <c r="BC43" s="262">
        <v>0</v>
      </c>
      <c r="BD43" s="262">
        <v>0</v>
      </c>
    </row>
    <row r="44" spans="1:56" x14ac:dyDescent="0.25">
      <c r="A44" s="6" t="str">
        <f>$A$3&amp;"_"&amp;"II5"&amp;"_"&amp;"AI_CV"</f>
        <v>BXX_PRM1_II5_AI_CV</v>
      </c>
      <c r="B44" s="6" t="str">
        <f t="shared" si="2"/>
        <v>BXX_PRM1</v>
      </c>
      <c r="C44" s="6" t="str">
        <f>$C$3 &amp; " Demand Current"</f>
        <v>Location Power Monitor Demand Current</v>
      </c>
      <c r="D44" s="4">
        <f>LEN(C44)</f>
        <v>37</v>
      </c>
      <c r="E44" s="27" t="s">
        <v>0</v>
      </c>
      <c r="F44" s="27" t="s">
        <v>1</v>
      </c>
      <c r="G44" s="27">
        <v>0</v>
      </c>
      <c r="H44" s="27" t="s">
        <v>0</v>
      </c>
      <c r="I44" s="27" t="s">
        <v>1</v>
      </c>
      <c r="J44" s="27">
        <v>0</v>
      </c>
      <c r="K44" s="27">
        <v>0</v>
      </c>
      <c r="L44" s="27" t="s">
        <v>139</v>
      </c>
      <c r="M44" s="196">
        <v>0</v>
      </c>
      <c r="N44" s="27">
        <v>0</v>
      </c>
      <c r="O44" s="35">
        <v>10000000</v>
      </c>
      <c r="P44" s="27">
        <v>0</v>
      </c>
      <c r="Q44" s="27">
        <v>0.1</v>
      </c>
      <c r="R44" s="27" t="s">
        <v>40</v>
      </c>
      <c r="S44" s="27">
        <v>0</v>
      </c>
      <c r="T44" s="27">
        <v>1</v>
      </c>
      <c r="U44" s="27" t="s">
        <v>40</v>
      </c>
      <c r="V44" s="27">
        <v>0</v>
      </c>
      <c r="W44" s="27">
        <v>1</v>
      </c>
      <c r="X44" s="27" t="s">
        <v>40</v>
      </c>
      <c r="Y44" s="27">
        <v>0</v>
      </c>
      <c r="Z44" s="27">
        <v>1</v>
      </c>
      <c r="AA44" s="27" t="s">
        <v>40</v>
      </c>
      <c r="AB44" s="27">
        <v>0</v>
      </c>
      <c r="AC44" s="27">
        <v>1</v>
      </c>
      <c r="AD44" s="27" t="s">
        <v>40</v>
      </c>
      <c r="AE44" s="27">
        <v>0</v>
      </c>
      <c r="AF44" s="27">
        <v>1</v>
      </c>
      <c r="AG44" s="27" t="s">
        <v>40</v>
      </c>
      <c r="AH44" s="27">
        <v>0</v>
      </c>
      <c r="AI44" s="27">
        <v>1</v>
      </c>
      <c r="AJ44" s="27">
        <v>0</v>
      </c>
      <c r="AK44" s="27" t="s">
        <v>40</v>
      </c>
      <c r="AL44" s="27">
        <v>0</v>
      </c>
      <c r="AM44" s="27">
        <v>1</v>
      </c>
      <c r="AN44" s="27" t="s">
        <v>98</v>
      </c>
      <c r="AO44" s="27">
        <v>0</v>
      </c>
      <c r="AP44" s="35">
        <v>10000000</v>
      </c>
      <c r="AQ44" s="27" t="s">
        <v>106</v>
      </c>
      <c r="AR44" s="6" t="s">
        <v>2</v>
      </c>
      <c r="AS44" s="27" t="s">
        <v>1</v>
      </c>
      <c r="AT44" s="6" t="str">
        <f>$A$3&amp;"."&amp;"II5AI_CV"</f>
        <v>BXX_PRM1.II5AI_CV</v>
      </c>
      <c r="AU44" s="27" t="s">
        <v>1</v>
      </c>
      <c r="AV44" s="6" t="str">
        <f>C44</f>
        <v>Location Power Monitor Demand Current</v>
      </c>
      <c r="AW44" s="27">
        <v>0</v>
      </c>
      <c r="AX44" s="27">
        <v>0</v>
      </c>
      <c r="AY44" s="27">
        <v>0</v>
      </c>
      <c r="AZ44" s="27">
        <v>0</v>
      </c>
      <c r="BA44" s="27">
        <v>0</v>
      </c>
      <c r="BB44" s="27">
        <v>0</v>
      </c>
      <c r="BC44" s="27">
        <v>0</v>
      </c>
      <c r="BD44" s="27">
        <v>0</v>
      </c>
    </row>
    <row r="45" spans="1:56" x14ac:dyDescent="0.25">
      <c r="A45" s="6" t="str">
        <f>$A$3&amp;"_"&amp;"JI6"&amp;"_"&amp;"AI_CV"</f>
        <v>BXX_PRM1_JI6_AI_CV</v>
      </c>
      <c r="B45" s="6" t="str">
        <f t="shared" si="2"/>
        <v>BXX_PRM1</v>
      </c>
      <c r="C45" s="6" t="str">
        <f>$C$3 &amp; " Demand Power"</f>
        <v>Location Power Monitor Demand Power</v>
      </c>
      <c r="D45" s="4">
        <f t="shared" si="4"/>
        <v>35</v>
      </c>
      <c r="E45" s="30" t="s">
        <v>0</v>
      </c>
      <c r="F45" s="30" t="s">
        <v>1</v>
      </c>
      <c r="G45" s="30">
        <v>0</v>
      </c>
      <c r="H45" s="30" t="s">
        <v>0</v>
      </c>
      <c r="I45" s="30" t="s">
        <v>1</v>
      </c>
      <c r="J45" s="30">
        <v>0</v>
      </c>
      <c r="K45" s="30">
        <v>0</v>
      </c>
      <c r="L45" s="30" t="s">
        <v>141</v>
      </c>
      <c r="M45" s="196">
        <v>0</v>
      </c>
      <c r="N45" s="35">
        <v>0</v>
      </c>
      <c r="O45" s="35">
        <v>10000000</v>
      </c>
      <c r="P45" s="30">
        <v>0</v>
      </c>
      <c r="Q45" s="30">
        <v>1</v>
      </c>
      <c r="R45" s="30" t="s">
        <v>40</v>
      </c>
      <c r="S45" s="30">
        <v>0</v>
      </c>
      <c r="T45" s="30">
        <v>1</v>
      </c>
      <c r="U45" s="30" t="s">
        <v>40</v>
      </c>
      <c r="V45" s="30">
        <v>0</v>
      </c>
      <c r="W45" s="30">
        <v>1</v>
      </c>
      <c r="X45" s="30" t="s">
        <v>40</v>
      </c>
      <c r="Y45" s="30">
        <v>0</v>
      </c>
      <c r="Z45" s="30">
        <v>1</v>
      </c>
      <c r="AA45" s="30" t="s">
        <v>40</v>
      </c>
      <c r="AB45" s="30">
        <v>0</v>
      </c>
      <c r="AC45" s="30">
        <v>1</v>
      </c>
      <c r="AD45" s="30" t="s">
        <v>40</v>
      </c>
      <c r="AE45" s="30">
        <v>0</v>
      </c>
      <c r="AF45" s="30">
        <v>1</v>
      </c>
      <c r="AG45" s="30" t="s">
        <v>40</v>
      </c>
      <c r="AH45" s="30">
        <v>0</v>
      </c>
      <c r="AI45" s="30">
        <v>1</v>
      </c>
      <c r="AJ45" s="30">
        <v>0</v>
      </c>
      <c r="AK45" s="30" t="s">
        <v>40</v>
      </c>
      <c r="AL45" s="30">
        <v>0</v>
      </c>
      <c r="AM45" s="30">
        <v>1</v>
      </c>
      <c r="AN45" s="30" t="s">
        <v>98</v>
      </c>
      <c r="AO45" s="35">
        <v>0</v>
      </c>
      <c r="AP45" s="35">
        <v>10000000</v>
      </c>
      <c r="AQ45" s="30" t="s">
        <v>106</v>
      </c>
      <c r="AR45" s="6" t="s">
        <v>2</v>
      </c>
      <c r="AS45" s="30" t="s">
        <v>1</v>
      </c>
      <c r="AT45" s="6" t="str">
        <f>$A$3&amp;"."&amp;"JI6AI_CV"</f>
        <v>BXX_PRM1.JI6AI_CV</v>
      </c>
      <c r="AU45" s="30" t="s">
        <v>1</v>
      </c>
      <c r="AV45" s="6" t="str">
        <f t="shared" si="3"/>
        <v>Location Power Monitor Demand Power</v>
      </c>
      <c r="AW45" s="30">
        <v>0</v>
      </c>
      <c r="AX45" s="30">
        <v>0</v>
      </c>
      <c r="AY45" s="30">
        <v>0</v>
      </c>
      <c r="AZ45" s="30">
        <v>0</v>
      </c>
      <c r="BA45" s="30">
        <v>0</v>
      </c>
      <c r="BB45" s="30">
        <v>0</v>
      </c>
      <c r="BC45" s="30">
        <v>0</v>
      </c>
      <c r="BD45" s="30">
        <v>0</v>
      </c>
    </row>
    <row r="46" spans="1:56" x14ac:dyDescent="0.25">
      <c r="A46" s="35" t="s">
        <v>115</v>
      </c>
      <c r="B46" s="32" t="s">
        <v>4</v>
      </c>
      <c r="C46" s="32" t="s">
        <v>5</v>
      </c>
      <c r="D46" s="4">
        <f t="shared" ref="D46:D86" si="13">LEN(C46)</f>
        <v>7</v>
      </c>
      <c r="E46" s="32" t="s">
        <v>30</v>
      </c>
      <c r="F46" s="32" t="s">
        <v>6</v>
      </c>
      <c r="G46" s="32" t="s">
        <v>7</v>
      </c>
      <c r="H46" s="32" t="s">
        <v>31</v>
      </c>
      <c r="I46" s="32" t="s">
        <v>113</v>
      </c>
      <c r="J46" s="32" t="s">
        <v>114</v>
      </c>
      <c r="K46" s="32" t="s">
        <v>45</v>
      </c>
      <c r="L46" s="32" t="s">
        <v>46</v>
      </c>
      <c r="M46" s="32" t="s">
        <v>47</v>
      </c>
      <c r="N46" s="35" t="s">
        <v>48</v>
      </c>
      <c r="O46" s="35" t="s">
        <v>37</v>
      </c>
      <c r="P46" s="32" t="s">
        <v>39</v>
      </c>
      <c r="AO46" s="35"/>
      <c r="AP46" s="35"/>
    </row>
    <row r="47" spans="1:56" x14ac:dyDescent="0.25">
      <c r="A47" s="6" t="str">
        <f>$A$3&amp;"_"&amp;"AI_NM"</f>
        <v>BXX_PRM1_AI_NM</v>
      </c>
      <c r="B47" s="6" t="str">
        <f t="shared" si="2"/>
        <v>BXX_PRM1</v>
      </c>
      <c r="C47" s="6" t="str">
        <f>$A$3</f>
        <v>BXX_PRM1</v>
      </c>
      <c r="D47" s="4">
        <f t="shared" si="13"/>
        <v>8</v>
      </c>
      <c r="E47" s="33" t="s">
        <v>1</v>
      </c>
      <c r="F47" s="33" t="s">
        <v>1</v>
      </c>
      <c r="G47" s="33">
        <v>0</v>
      </c>
      <c r="H47" s="33" t="s">
        <v>0</v>
      </c>
      <c r="I47" s="33">
        <v>131</v>
      </c>
      <c r="J47" s="6" t="str">
        <f>$A$3</f>
        <v>BXX_PRM1</v>
      </c>
      <c r="K47" s="2" t="s">
        <v>124</v>
      </c>
      <c r="L47" s="33" t="s">
        <v>0</v>
      </c>
      <c r="M47" s="6" t="str">
        <f>A47</f>
        <v>BXX_PRM1_AI_NM</v>
      </c>
      <c r="N47" s="33" t="s">
        <v>1</v>
      </c>
    </row>
    <row r="48" spans="1:56" s="172" customFormat="1" x14ac:dyDescent="0.25">
      <c r="A48" s="173" t="s">
        <v>112</v>
      </c>
      <c r="B48" s="173" t="s">
        <v>4</v>
      </c>
      <c r="C48" s="173" t="s">
        <v>5</v>
      </c>
      <c r="D48" s="4">
        <f t="shared" si="13"/>
        <v>7</v>
      </c>
      <c r="E48" s="174" t="s">
        <v>30</v>
      </c>
      <c r="F48" s="174" t="s">
        <v>6</v>
      </c>
      <c r="G48" s="174" t="s">
        <v>7</v>
      </c>
      <c r="H48" s="174" t="s">
        <v>31</v>
      </c>
      <c r="I48" s="174" t="s">
        <v>113</v>
      </c>
      <c r="J48" s="174" t="s">
        <v>114</v>
      </c>
      <c r="K48" s="174" t="s">
        <v>37</v>
      </c>
      <c r="L48" s="174" t="s">
        <v>39</v>
      </c>
      <c r="M48" s="174"/>
      <c r="N48" s="174"/>
      <c r="O48" s="174"/>
      <c r="P48" s="174"/>
      <c r="Q48" s="174"/>
      <c r="R48" s="174"/>
      <c r="S48" s="174"/>
      <c r="T48" s="174"/>
      <c r="U48" s="174"/>
      <c r="V48" s="174"/>
      <c r="W48" s="174"/>
      <c r="X48" s="174"/>
      <c r="Y48" s="174"/>
    </row>
    <row r="49" spans="1:13" s="170" customFormat="1" x14ac:dyDescent="0.25">
      <c r="A49" s="171" t="s">
        <v>373</v>
      </c>
      <c r="B49" s="171" t="s">
        <v>144</v>
      </c>
      <c r="C49" s="171" t="s">
        <v>374</v>
      </c>
      <c r="D49" s="4">
        <f t="shared" si="13"/>
        <v>18</v>
      </c>
      <c r="E49" s="172" t="s">
        <v>1</v>
      </c>
      <c r="F49" s="172" t="s">
        <v>1</v>
      </c>
      <c r="G49" s="172">
        <v>0</v>
      </c>
      <c r="H49" s="172" t="s">
        <v>0</v>
      </c>
      <c r="I49" s="172">
        <v>131</v>
      </c>
      <c r="J49" s="172"/>
      <c r="K49" s="172"/>
      <c r="L49" s="172"/>
      <c r="M49" s="6"/>
    </row>
    <row r="50" spans="1:13" x14ac:dyDescent="0.25">
      <c r="A50" s="35" t="s">
        <v>143</v>
      </c>
      <c r="B50" s="34" t="s">
        <v>4</v>
      </c>
      <c r="C50" s="34" t="s">
        <v>5</v>
      </c>
      <c r="D50" s="4">
        <f t="shared" si="13"/>
        <v>7</v>
      </c>
      <c r="E50" s="34" t="s">
        <v>6</v>
      </c>
      <c r="F50" s="34" t="s">
        <v>7</v>
      </c>
      <c r="G50" s="34" t="s">
        <v>31</v>
      </c>
      <c r="H50" s="34" t="s">
        <v>39</v>
      </c>
    </row>
    <row r="51" spans="1:13" x14ac:dyDescent="0.25">
      <c r="A51" s="35" t="s">
        <v>690</v>
      </c>
      <c r="B51" s="35" t="s">
        <v>144</v>
      </c>
      <c r="C51" s="35" t="s">
        <v>167</v>
      </c>
      <c r="D51" s="4">
        <f t="shared" si="13"/>
        <v>40</v>
      </c>
      <c r="E51" s="35" t="s">
        <v>1</v>
      </c>
      <c r="F51" s="35">
        <v>0</v>
      </c>
      <c r="G51" s="35" t="s">
        <v>1</v>
      </c>
    </row>
    <row r="52" spans="1:13" x14ac:dyDescent="0.25">
      <c r="A52" s="35" t="s">
        <v>691</v>
      </c>
      <c r="B52" s="35" t="s">
        <v>144</v>
      </c>
      <c r="C52" s="35" t="s">
        <v>168</v>
      </c>
      <c r="D52" s="4">
        <f t="shared" si="13"/>
        <v>40</v>
      </c>
      <c r="E52" s="35" t="s">
        <v>1</v>
      </c>
      <c r="F52" s="35">
        <v>0</v>
      </c>
      <c r="G52" s="35" t="s">
        <v>1</v>
      </c>
    </row>
    <row r="53" spans="1:13" x14ac:dyDescent="0.25">
      <c r="A53" s="35" t="s">
        <v>692</v>
      </c>
      <c r="B53" s="35" t="s">
        <v>144</v>
      </c>
      <c r="C53" s="35" t="s">
        <v>169</v>
      </c>
      <c r="D53" s="4">
        <f t="shared" si="13"/>
        <v>40</v>
      </c>
      <c r="E53" s="35" t="s">
        <v>1</v>
      </c>
      <c r="F53" s="35">
        <v>0</v>
      </c>
      <c r="G53" s="35" t="s">
        <v>1</v>
      </c>
    </row>
    <row r="54" spans="1:13" x14ac:dyDescent="0.25">
      <c r="A54" s="35" t="s">
        <v>693</v>
      </c>
      <c r="B54" s="35" t="s">
        <v>144</v>
      </c>
      <c r="C54" s="35" t="s">
        <v>170</v>
      </c>
      <c r="D54" s="4">
        <f t="shared" si="13"/>
        <v>40</v>
      </c>
      <c r="E54" s="35" t="s">
        <v>1</v>
      </c>
      <c r="F54" s="35">
        <v>0</v>
      </c>
      <c r="G54" s="35" t="s">
        <v>1</v>
      </c>
    </row>
    <row r="55" spans="1:13" x14ac:dyDescent="0.25">
      <c r="A55" s="35" t="s">
        <v>694</v>
      </c>
      <c r="B55" s="35" t="s">
        <v>144</v>
      </c>
      <c r="C55" s="35" t="s">
        <v>158</v>
      </c>
      <c r="D55" s="4">
        <f t="shared" si="13"/>
        <v>48</v>
      </c>
      <c r="E55" s="35" t="s">
        <v>1</v>
      </c>
      <c r="F55" s="35">
        <v>0</v>
      </c>
      <c r="G55" s="35" t="s">
        <v>1</v>
      </c>
    </row>
    <row r="56" spans="1:13" x14ac:dyDescent="0.25">
      <c r="A56" s="35" t="s">
        <v>695</v>
      </c>
      <c r="B56" s="35" t="s">
        <v>144</v>
      </c>
      <c r="C56" s="35" t="s">
        <v>161</v>
      </c>
      <c r="D56" s="4">
        <f t="shared" si="13"/>
        <v>48</v>
      </c>
      <c r="E56" s="35" t="s">
        <v>1</v>
      </c>
      <c r="F56" s="35">
        <v>0</v>
      </c>
      <c r="G56" s="35" t="s">
        <v>1</v>
      </c>
    </row>
    <row r="57" spans="1:13" x14ac:dyDescent="0.25">
      <c r="A57" s="35" t="s">
        <v>696</v>
      </c>
      <c r="B57" s="35" t="s">
        <v>144</v>
      </c>
      <c r="C57" s="35" t="s">
        <v>157</v>
      </c>
      <c r="D57" s="4">
        <f t="shared" si="13"/>
        <v>48</v>
      </c>
      <c r="E57" s="35" t="s">
        <v>1</v>
      </c>
      <c r="F57" s="35">
        <v>0</v>
      </c>
      <c r="G57" s="35" t="s">
        <v>1</v>
      </c>
    </row>
    <row r="58" spans="1:13" x14ac:dyDescent="0.25">
      <c r="A58" s="35" t="s">
        <v>697</v>
      </c>
      <c r="B58" s="35" t="s">
        <v>144</v>
      </c>
      <c r="C58" s="35" t="s">
        <v>150</v>
      </c>
      <c r="D58" s="4">
        <f t="shared" si="13"/>
        <v>46</v>
      </c>
      <c r="E58" s="35" t="s">
        <v>1</v>
      </c>
      <c r="F58" s="35">
        <v>0</v>
      </c>
      <c r="G58" s="35" t="s">
        <v>1</v>
      </c>
    </row>
    <row r="59" spans="1:13" x14ac:dyDescent="0.25">
      <c r="A59" s="35" t="s">
        <v>698</v>
      </c>
      <c r="B59" s="35" t="s">
        <v>144</v>
      </c>
      <c r="C59" s="35" t="s">
        <v>164</v>
      </c>
      <c r="D59" s="4">
        <f t="shared" si="13"/>
        <v>47</v>
      </c>
      <c r="E59" s="35" t="s">
        <v>1</v>
      </c>
      <c r="F59" s="35">
        <v>0</v>
      </c>
      <c r="G59" s="35" t="s">
        <v>1</v>
      </c>
    </row>
    <row r="60" spans="1:13" x14ac:dyDescent="0.25">
      <c r="A60" s="35" t="s">
        <v>699</v>
      </c>
      <c r="B60" s="35" t="s">
        <v>144</v>
      </c>
      <c r="C60" s="35" t="s">
        <v>163</v>
      </c>
      <c r="D60" s="4">
        <f t="shared" si="13"/>
        <v>47</v>
      </c>
      <c r="E60" s="35" t="s">
        <v>1</v>
      </c>
      <c r="F60" s="35">
        <v>0</v>
      </c>
      <c r="G60" s="35" t="s">
        <v>1</v>
      </c>
    </row>
    <row r="61" spans="1:13" x14ac:dyDescent="0.25">
      <c r="A61" s="35" t="s">
        <v>700</v>
      </c>
      <c r="B61" s="35" t="s">
        <v>144</v>
      </c>
      <c r="C61" s="35" t="s">
        <v>162</v>
      </c>
      <c r="D61" s="4">
        <f t="shared" si="13"/>
        <v>47</v>
      </c>
      <c r="E61" s="35" t="s">
        <v>1</v>
      </c>
      <c r="F61" s="35">
        <v>0</v>
      </c>
      <c r="G61" s="35" t="s">
        <v>1</v>
      </c>
    </row>
    <row r="62" spans="1:13" x14ac:dyDescent="0.25">
      <c r="A62" s="35" t="s">
        <v>701</v>
      </c>
      <c r="B62" s="35" t="s">
        <v>144</v>
      </c>
      <c r="C62" s="35" t="s">
        <v>156</v>
      </c>
      <c r="D62" s="4">
        <f t="shared" si="13"/>
        <v>42</v>
      </c>
      <c r="E62" s="35" t="s">
        <v>1</v>
      </c>
      <c r="F62" s="35">
        <v>0</v>
      </c>
      <c r="G62" s="35" t="s">
        <v>1</v>
      </c>
    </row>
    <row r="63" spans="1:13" x14ac:dyDescent="0.25">
      <c r="A63" s="35" t="s">
        <v>702</v>
      </c>
      <c r="B63" s="35" t="s">
        <v>144</v>
      </c>
      <c r="C63" s="35" t="s">
        <v>171</v>
      </c>
      <c r="D63" s="4">
        <f t="shared" si="13"/>
        <v>33</v>
      </c>
      <c r="E63" s="35" t="s">
        <v>1</v>
      </c>
      <c r="F63" s="35">
        <v>0</v>
      </c>
      <c r="G63" s="35" t="s">
        <v>1</v>
      </c>
    </row>
    <row r="64" spans="1:13" x14ac:dyDescent="0.25">
      <c r="A64" s="35" t="s">
        <v>703</v>
      </c>
      <c r="B64" s="35" t="s">
        <v>144</v>
      </c>
      <c r="C64" s="35" t="s">
        <v>171</v>
      </c>
      <c r="D64" s="4">
        <f t="shared" si="13"/>
        <v>33</v>
      </c>
      <c r="E64" s="35" t="s">
        <v>1</v>
      </c>
      <c r="F64" s="35">
        <v>0</v>
      </c>
      <c r="G64" s="35" t="s">
        <v>1</v>
      </c>
    </row>
    <row r="65" spans="1:7" x14ac:dyDescent="0.25">
      <c r="A65" s="35" t="s">
        <v>704</v>
      </c>
      <c r="B65" s="35" t="s">
        <v>144</v>
      </c>
      <c r="C65" s="35" t="s">
        <v>171</v>
      </c>
      <c r="D65" s="4">
        <f t="shared" si="13"/>
        <v>33</v>
      </c>
      <c r="E65" s="35" t="s">
        <v>1</v>
      </c>
      <c r="F65" s="35">
        <v>0</v>
      </c>
      <c r="G65" s="35" t="s">
        <v>1</v>
      </c>
    </row>
    <row r="66" spans="1:7" x14ac:dyDescent="0.25">
      <c r="A66" s="35" t="s">
        <v>705</v>
      </c>
      <c r="B66" s="35" t="s">
        <v>144</v>
      </c>
      <c r="C66" s="35" t="s">
        <v>171</v>
      </c>
      <c r="D66" s="4">
        <f t="shared" si="13"/>
        <v>33</v>
      </c>
      <c r="E66" s="35" t="s">
        <v>1</v>
      </c>
      <c r="F66" s="35">
        <v>0</v>
      </c>
      <c r="G66" s="35" t="s">
        <v>1</v>
      </c>
    </row>
    <row r="67" spans="1:7" x14ac:dyDescent="0.25">
      <c r="A67" s="35" t="s">
        <v>706</v>
      </c>
      <c r="B67" s="35" t="s">
        <v>144</v>
      </c>
      <c r="C67" s="35" t="s">
        <v>155</v>
      </c>
      <c r="D67" s="4">
        <f t="shared" si="13"/>
        <v>43</v>
      </c>
      <c r="E67" s="35" t="s">
        <v>1</v>
      </c>
      <c r="F67" s="35">
        <v>0</v>
      </c>
      <c r="G67" s="35" t="s">
        <v>1</v>
      </c>
    </row>
    <row r="68" spans="1:7" x14ac:dyDescent="0.25">
      <c r="A68" s="35" t="s">
        <v>707</v>
      </c>
      <c r="B68" s="35" t="s">
        <v>144</v>
      </c>
      <c r="C68" s="35" t="s">
        <v>151</v>
      </c>
      <c r="D68" s="4">
        <f t="shared" si="13"/>
        <v>37</v>
      </c>
      <c r="E68" s="35" t="s">
        <v>1</v>
      </c>
      <c r="F68" s="35">
        <v>0</v>
      </c>
      <c r="G68" s="35" t="s">
        <v>1</v>
      </c>
    </row>
    <row r="69" spans="1:7" x14ac:dyDescent="0.25">
      <c r="A69" s="35" t="s">
        <v>708</v>
      </c>
      <c r="B69" s="35" t="s">
        <v>144</v>
      </c>
      <c r="C69" s="35" t="s">
        <v>160</v>
      </c>
      <c r="D69" s="4">
        <f t="shared" si="13"/>
        <v>37</v>
      </c>
      <c r="E69" s="35" t="s">
        <v>1</v>
      </c>
      <c r="F69" s="35">
        <v>0</v>
      </c>
      <c r="G69" s="35" t="s">
        <v>1</v>
      </c>
    </row>
    <row r="70" spans="1:7" x14ac:dyDescent="0.25">
      <c r="A70" s="35" t="s">
        <v>709</v>
      </c>
      <c r="B70" s="35" t="s">
        <v>144</v>
      </c>
      <c r="C70" s="35" t="s">
        <v>166</v>
      </c>
      <c r="D70" s="4">
        <f t="shared" si="13"/>
        <v>37</v>
      </c>
      <c r="E70" s="35" t="s">
        <v>1</v>
      </c>
      <c r="F70" s="35">
        <v>0</v>
      </c>
      <c r="G70" s="35" t="s">
        <v>1</v>
      </c>
    </row>
    <row r="71" spans="1:7" x14ac:dyDescent="0.25">
      <c r="A71" s="35" t="s">
        <v>710</v>
      </c>
      <c r="B71" s="35" t="s">
        <v>144</v>
      </c>
      <c r="C71" s="35" t="s">
        <v>165</v>
      </c>
      <c r="D71" s="4">
        <f t="shared" si="13"/>
        <v>38</v>
      </c>
      <c r="E71" s="35" t="s">
        <v>1</v>
      </c>
      <c r="F71" s="35">
        <v>0</v>
      </c>
      <c r="G71" s="35" t="s">
        <v>1</v>
      </c>
    </row>
    <row r="72" spans="1:7" x14ac:dyDescent="0.25">
      <c r="A72" s="35" t="s">
        <v>711</v>
      </c>
      <c r="B72" s="35" t="s">
        <v>144</v>
      </c>
      <c r="C72" s="35" t="s">
        <v>152</v>
      </c>
      <c r="D72" s="4">
        <f t="shared" si="13"/>
        <v>44</v>
      </c>
      <c r="E72" s="35" t="s">
        <v>1</v>
      </c>
      <c r="F72" s="35">
        <v>0</v>
      </c>
      <c r="G72" s="35" t="s">
        <v>1</v>
      </c>
    </row>
    <row r="73" spans="1:7" x14ac:dyDescent="0.25">
      <c r="A73" s="35" t="s">
        <v>712</v>
      </c>
      <c r="B73" s="35" t="s">
        <v>144</v>
      </c>
      <c r="C73" s="35" t="s">
        <v>159</v>
      </c>
      <c r="D73" s="4">
        <f t="shared" si="13"/>
        <v>46</v>
      </c>
      <c r="E73" s="35" t="s">
        <v>1</v>
      </c>
      <c r="F73" s="35">
        <v>0</v>
      </c>
      <c r="G73" s="35" t="s">
        <v>1</v>
      </c>
    </row>
    <row r="74" spans="1:7" x14ac:dyDescent="0.25">
      <c r="A74" s="35" t="s">
        <v>713</v>
      </c>
      <c r="B74" s="35" t="s">
        <v>144</v>
      </c>
      <c r="C74" s="35" t="s">
        <v>154</v>
      </c>
      <c r="D74" s="4">
        <f t="shared" si="13"/>
        <v>39</v>
      </c>
      <c r="E74" s="35" t="s">
        <v>1</v>
      </c>
      <c r="F74" s="35">
        <v>0</v>
      </c>
      <c r="G74" s="35" t="s">
        <v>1</v>
      </c>
    </row>
    <row r="75" spans="1:7" x14ac:dyDescent="0.25">
      <c r="A75" s="35" t="s">
        <v>714</v>
      </c>
      <c r="B75" s="35" t="s">
        <v>144</v>
      </c>
      <c r="C75" s="35" t="s">
        <v>153</v>
      </c>
      <c r="D75" s="4">
        <f t="shared" si="13"/>
        <v>39</v>
      </c>
      <c r="E75" s="35" t="s">
        <v>1</v>
      </c>
      <c r="F75" s="35">
        <v>0</v>
      </c>
      <c r="G75" s="35" t="s">
        <v>1</v>
      </c>
    </row>
    <row r="76" spans="1:7" x14ac:dyDescent="0.25">
      <c r="A76" s="35" t="s">
        <v>715</v>
      </c>
      <c r="B76" s="35" t="s">
        <v>144</v>
      </c>
      <c r="C76" s="35" t="s">
        <v>149</v>
      </c>
      <c r="D76" s="4">
        <f t="shared" si="13"/>
        <v>39</v>
      </c>
      <c r="E76" s="35" t="s">
        <v>1</v>
      </c>
      <c r="F76" s="35">
        <v>0</v>
      </c>
      <c r="G76" s="35" t="s">
        <v>1</v>
      </c>
    </row>
    <row r="77" spans="1:7" x14ac:dyDescent="0.25">
      <c r="A77" s="35" t="s">
        <v>716</v>
      </c>
      <c r="B77" s="35" t="s">
        <v>144</v>
      </c>
      <c r="C77" s="35" t="s">
        <v>147</v>
      </c>
      <c r="D77" s="4">
        <f t="shared" si="13"/>
        <v>37</v>
      </c>
      <c r="E77" s="35" t="s">
        <v>1</v>
      </c>
      <c r="F77" s="35">
        <v>0</v>
      </c>
      <c r="G77" s="35" t="s">
        <v>1</v>
      </c>
    </row>
    <row r="78" spans="1:7" x14ac:dyDescent="0.25">
      <c r="A78" s="35" t="s">
        <v>717</v>
      </c>
      <c r="B78" s="35" t="s">
        <v>144</v>
      </c>
      <c r="C78" s="35" t="s">
        <v>523</v>
      </c>
      <c r="D78" s="4">
        <f t="shared" si="13"/>
        <v>31</v>
      </c>
      <c r="E78" s="35" t="s">
        <v>1</v>
      </c>
      <c r="F78" s="35">
        <v>0</v>
      </c>
      <c r="G78" s="35" t="s">
        <v>1</v>
      </c>
    </row>
    <row r="79" spans="1:7" s="262" customFormat="1" x14ac:dyDescent="0.25">
      <c r="A79" s="262" t="s">
        <v>718</v>
      </c>
      <c r="B79" s="262" t="s">
        <v>144</v>
      </c>
      <c r="C79" s="262" t="s">
        <v>146</v>
      </c>
      <c r="D79" s="4">
        <f t="shared" ref="D79" si="14">LEN(C79)</f>
        <v>31</v>
      </c>
      <c r="E79" s="262" t="s">
        <v>1</v>
      </c>
      <c r="F79" s="262">
        <v>0</v>
      </c>
      <c r="G79" s="262" t="s">
        <v>1</v>
      </c>
    </row>
    <row r="80" spans="1:7" x14ac:dyDescent="0.25">
      <c r="A80" s="35" t="s">
        <v>719</v>
      </c>
      <c r="B80" s="35" t="s">
        <v>144</v>
      </c>
      <c r="C80" s="35" t="s">
        <v>148</v>
      </c>
      <c r="D80" s="4">
        <f t="shared" si="13"/>
        <v>38</v>
      </c>
      <c r="E80" s="35" t="s">
        <v>1</v>
      </c>
      <c r="F80" s="35">
        <v>0</v>
      </c>
      <c r="G80" s="35" t="s">
        <v>1</v>
      </c>
    </row>
    <row r="81" spans="1:7" s="262" customFormat="1" x14ac:dyDescent="0.25">
      <c r="A81" s="262" t="s">
        <v>720</v>
      </c>
      <c r="B81" s="262" t="s">
        <v>144</v>
      </c>
      <c r="C81" s="262" t="s">
        <v>524</v>
      </c>
      <c r="D81" s="4">
        <f t="shared" ref="D81" si="15">LEN(C81)</f>
        <v>33</v>
      </c>
      <c r="E81" s="262" t="s">
        <v>1</v>
      </c>
      <c r="F81" s="262">
        <v>0</v>
      </c>
      <c r="G81" s="262" t="s">
        <v>1</v>
      </c>
    </row>
    <row r="82" spans="1:7" x14ac:dyDescent="0.25">
      <c r="A82" s="35" t="s">
        <v>721</v>
      </c>
      <c r="B82" s="35" t="s">
        <v>144</v>
      </c>
      <c r="C82" s="35" t="s">
        <v>145</v>
      </c>
      <c r="D82" s="4">
        <f t="shared" si="13"/>
        <v>33</v>
      </c>
      <c r="E82" s="35" t="s">
        <v>1</v>
      </c>
      <c r="F82" s="35">
        <v>0</v>
      </c>
      <c r="G82" s="35" t="s">
        <v>1</v>
      </c>
    </row>
    <row r="83" spans="1:7" x14ac:dyDescent="0.25">
      <c r="A83" s="35" t="s">
        <v>722</v>
      </c>
      <c r="B83" s="35" t="s">
        <v>144</v>
      </c>
      <c r="C83" s="35" t="s">
        <v>172</v>
      </c>
      <c r="D83" s="4">
        <f t="shared" si="13"/>
        <v>42</v>
      </c>
      <c r="E83" s="35" t="s">
        <v>1</v>
      </c>
      <c r="F83" s="35">
        <v>0</v>
      </c>
      <c r="G83" s="35" t="s">
        <v>1</v>
      </c>
    </row>
    <row r="84" spans="1:7" x14ac:dyDescent="0.25">
      <c r="A84" s="35" t="s">
        <v>723</v>
      </c>
      <c r="B84" s="35" t="s">
        <v>144</v>
      </c>
      <c r="C84" s="35" t="s">
        <v>173</v>
      </c>
      <c r="D84" s="4">
        <f t="shared" si="13"/>
        <v>42</v>
      </c>
      <c r="E84" s="35" t="s">
        <v>1</v>
      </c>
      <c r="F84" s="35">
        <v>0</v>
      </c>
      <c r="G84" s="35" t="s">
        <v>1</v>
      </c>
    </row>
    <row r="85" spans="1:7" x14ac:dyDescent="0.25">
      <c r="A85" s="35" t="s">
        <v>724</v>
      </c>
      <c r="B85" s="35" t="s">
        <v>144</v>
      </c>
      <c r="C85" s="35" t="s">
        <v>174</v>
      </c>
      <c r="D85" s="4">
        <f t="shared" si="13"/>
        <v>42</v>
      </c>
      <c r="E85" s="35" t="s">
        <v>1</v>
      </c>
      <c r="F85" s="35">
        <v>0</v>
      </c>
      <c r="G85" s="35" t="s">
        <v>1</v>
      </c>
    </row>
    <row r="86" spans="1:7" x14ac:dyDescent="0.25">
      <c r="A86" s="35" t="s">
        <v>725</v>
      </c>
      <c r="B86" s="35" t="s">
        <v>144</v>
      </c>
      <c r="C86" s="35" t="s">
        <v>175</v>
      </c>
      <c r="D86" s="4">
        <f t="shared" si="13"/>
        <v>42</v>
      </c>
      <c r="E86" s="35" t="s">
        <v>1</v>
      </c>
      <c r="F86" s="35">
        <v>0</v>
      </c>
      <c r="G86" s="35" t="s">
        <v>1</v>
      </c>
    </row>
  </sheetData>
  <conditionalFormatting sqref="D21 D26 D11:D13 D7:D8 D17 D19 D32 D15 D80 D82:D86 D24 D29:D30 D42 D34:D40 D45:D78">
    <cfRule type="cellIs" dxfId="47" priority="19" operator="greaterThan">
      <formula>49</formula>
    </cfRule>
  </conditionalFormatting>
  <conditionalFormatting sqref="D44">
    <cfRule type="cellIs" dxfId="46" priority="15" operator="greaterThan">
      <formula>49</formula>
    </cfRule>
  </conditionalFormatting>
  <conditionalFormatting sqref="D3:D6">
    <cfRule type="cellIs" dxfId="45" priority="18" operator="greaterThan">
      <formula>49</formula>
    </cfRule>
  </conditionalFormatting>
  <conditionalFormatting sqref="D22">
    <cfRule type="cellIs" dxfId="44" priority="17" operator="greaterThan">
      <formula>49</formula>
    </cfRule>
  </conditionalFormatting>
  <conditionalFormatting sqref="D23">
    <cfRule type="cellIs" dxfId="43" priority="16" operator="greaterThan">
      <formula>49</formula>
    </cfRule>
  </conditionalFormatting>
  <conditionalFormatting sqref="D14">
    <cfRule type="cellIs" dxfId="42" priority="14" operator="greaterThan">
      <formula>49</formula>
    </cfRule>
  </conditionalFormatting>
  <conditionalFormatting sqref="D25">
    <cfRule type="cellIs" dxfId="41" priority="13" operator="greaterThan">
      <formula>49</formula>
    </cfRule>
  </conditionalFormatting>
  <conditionalFormatting sqref="D28">
    <cfRule type="cellIs" dxfId="40" priority="12" operator="greaterThan">
      <formula>49</formula>
    </cfRule>
  </conditionalFormatting>
  <conditionalFormatting sqref="D33">
    <cfRule type="cellIs" dxfId="39" priority="11" operator="greaterThan">
      <formula>49</formula>
    </cfRule>
  </conditionalFormatting>
  <conditionalFormatting sqref="D20">
    <cfRule type="cellIs" dxfId="38" priority="10" operator="greaterThan">
      <formula>49</formula>
    </cfRule>
  </conditionalFormatting>
  <conditionalFormatting sqref="D16">
    <cfRule type="cellIs" dxfId="37" priority="9" operator="greaterThan">
      <formula>49</formula>
    </cfRule>
  </conditionalFormatting>
  <conditionalFormatting sqref="D18">
    <cfRule type="cellIs" dxfId="36" priority="8" operator="greaterThan">
      <formula>49</formula>
    </cfRule>
  </conditionalFormatting>
  <conditionalFormatting sqref="D31">
    <cfRule type="cellIs" dxfId="35" priority="7" operator="greaterThan">
      <formula>49</formula>
    </cfRule>
  </conditionalFormatting>
  <conditionalFormatting sqref="D27">
    <cfRule type="cellIs" dxfId="34" priority="6" operator="greaterThan">
      <formula>49</formula>
    </cfRule>
  </conditionalFormatting>
  <conditionalFormatting sqref="D9:D10">
    <cfRule type="cellIs" dxfId="33" priority="5" operator="greaterThan">
      <formula>49</formula>
    </cfRule>
  </conditionalFormatting>
  <conditionalFormatting sqref="D79">
    <cfRule type="cellIs" dxfId="32" priority="4" operator="greaterThan">
      <formula>49</formula>
    </cfRule>
  </conditionalFormatting>
  <conditionalFormatting sqref="D81">
    <cfRule type="cellIs" dxfId="31" priority="3" operator="greaterThan">
      <formula>49</formula>
    </cfRule>
  </conditionalFormatting>
  <conditionalFormatting sqref="D41">
    <cfRule type="cellIs" dxfId="30" priority="2" operator="greaterThan">
      <formula>49</formula>
    </cfRule>
  </conditionalFormatting>
  <conditionalFormatting sqref="D43">
    <cfRule type="cellIs" dxfId="29" priority="1" operator="greaterThan">
      <formula>49</formula>
    </cfRule>
  </conditionalFormatting>
  <pageMargins left="0.7" right="0.7" top="0.97222222222222221" bottom="0.75" header="0.3" footer="0.3"/>
  <pageSetup orientation="portrait" r:id="rId1"/>
  <headerFooter>
    <oddHeader>&amp;L&amp;"Times New Roman,Regular"Regional Municipality of Halton  
SCADA Standards Manual Section 6 HMI Programming
Appendix 6A HMI Tag Template&amp;R&amp;"Times New Roman,Regular"SCADA STANDARDS 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78"/>
  <sheetViews>
    <sheetView zoomScaleNormal="100" workbookViewId="0">
      <selection activeCell="A27" sqref="A27"/>
    </sheetView>
  </sheetViews>
  <sheetFormatPr defaultRowHeight="15" x14ac:dyDescent="0.25"/>
  <cols>
    <col min="1" max="1" width="21.5703125" bestFit="1" customWidth="1"/>
    <col min="2" max="2" width="14.140625" bestFit="1" customWidth="1"/>
    <col min="3" max="3" width="37.5703125" bestFit="1" customWidth="1"/>
    <col min="4" max="4" width="5.5703125" style="4" customWidth="1"/>
    <col min="5" max="5" width="11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18.7109375" bestFit="1" customWidth="1"/>
    <col min="11" max="12" width="18.140625" bestFit="1" customWidth="1"/>
    <col min="13" max="13" width="14.85546875" bestFit="1" customWidth="1"/>
    <col min="14" max="14" width="15" bestFit="1" customWidth="1"/>
    <col min="15" max="15" width="16.7109375" bestFit="1" customWidth="1"/>
    <col min="16" max="16" width="15.42578125" bestFit="1" customWidth="1"/>
    <col min="17" max="17" width="20.85546875" bestFit="1" customWidth="1"/>
    <col min="18" max="18" width="16.140625" bestFit="1" customWidth="1"/>
    <col min="19" max="19" width="33.28515625" bestFit="1" customWidth="1"/>
    <col min="20" max="20" width="19.140625" bestFit="1" customWidth="1"/>
    <col min="21" max="21" width="15.855468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7.7109375" bestFit="1" customWidth="1"/>
    <col min="42" max="42" width="8.140625" bestFit="1" customWidth="1"/>
    <col min="43" max="43" width="10.140625" bestFit="1" customWidth="1"/>
    <col min="44" max="44" width="11.28515625" bestFit="1" customWidth="1"/>
    <col min="45" max="45" width="15.42578125" bestFit="1" customWidth="1"/>
    <col min="46" max="46" width="21.7109375" bestFit="1" customWidth="1"/>
    <col min="47" max="47" width="8.7109375" bestFit="1" customWidth="1"/>
    <col min="48" max="48" width="36.28515625" bestFit="1" customWidth="1"/>
    <col min="49" max="49" width="14" bestFit="1" customWidth="1"/>
    <col min="50" max="50" width="15.7109375" bestFit="1" customWidth="1"/>
    <col min="51" max="51" width="13.7109375" bestFit="1" customWidth="1"/>
    <col min="52" max="52" width="13.42578125" bestFit="1" customWidth="1"/>
    <col min="53" max="53" width="15.140625" bestFit="1" customWidth="1"/>
    <col min="54" max="55" width="18.140625" bestFit="1" customWidth="1"/>
    <col min="56" max="56" width="14.855468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140625" bestFit="1" customWidth="1"/>
    <col min="61" max="62" width="19.140625" bestFit="1" customWidth="1"/>
    <col min="63" max="63" width="15.85546875" bestFit="1" customWidth="1"/>
    <col min="64" max="64" width="13.28515625" bestFit="1" customWidth="1"/>
  </cols>
  <sheetData>
    <row r="1" spans="1:64" s="178" customFormat="1" x14ac:dyDescent="0.25">
      <c r="A1" s="178" t="s">
        <v>130</v>
      </c>
      <c r="D1" s="5" t="s">
        <v>119</v>
      </c>
    </row>
    <row r="2" spans="1:64" s="178" customFormat="1" x14ac:dyDescent="0.25">
      <c r="A2" s="178" t="s">
        <v>3</v>
      </c>
      <c r="B2" s="178" t="s">
        <v>4</v>
      </c>
      <c r="C2" s="178" t="s">
        <v>5</v>
      </c>
      <c r="D2" s="4">
        <f t="shared" ref="D2:D4" si="0">LEN(C2)</f>
        <v>7</v>
      </c>
      <c r="E2" s="178" t="s">
        <v>6</v>
      </c>
      <c r="F2" s="178" t="s">
        <v>7</v>
      </c>
      <c r="G2" s="178" t="s">
        <v>8</v>
      </c>
      <c r="H2" s="178" t="s">
        <v>9</v>
      </c>
      <c r="I2" s="178" t="s">
        <v>10</v>
      </c>
      <c r="J2" s="178" t="s">
        <v>11</v>
      </c>
      <c r="K2" s="178" t="s">
        <v>12</v>
      </c>
      <c r="L2" s="178" t="s">
        <v>13</v>
      </c>
      <c r="M2" s="178" t="s">
        <v>14</v>
      </c>
      <c r="N2" s="178" t="s">
        <v>15</v>
      </c>
      <c r="O2" s="178" t="s">
        <v>16</v>
      </c>
      <c r="P2" s="178" t="s">
        <v>17</v>
      </c>
      <c r="Q2" s="178" t="s">
        <v>18</v>
      </c>
      <c r="R2" s="178" t="s">
        <v>19</v>
      </c>
      <c r="S2" s="178" t="s">
        <v>20</v>
      </c>
      <c r="T2" s="178" t="s">
        <v>21</v>
      </c>
      <c r="U2" s="178" t="s">
        <v>22</v>
      </c>
      <c r="V2" s="178" t="s">
        <v>23</v>
      </c>
    </row>
    <row r="3" spans="1:64" x14ac:dyDescent="0.25">
      <c r="A3" s="2" t="s">
        <v>540</v>
      </c>
      <c r="B3" s="2" t="s">
        <v>2</v>
      </c>
      <c r="C3" s="2" t="s">
        <v>377</v>
      </c>
      <c r="D3" s="4">
        <f t="shared" si="0"/>
        <v>10</v>
      </c>
      <c r="E3" s="179" t="s">
        <v>0</v>
      </c>
      <c r="F3" s="179">
        <v>999</v>
      </c>
      <c r="G3" s="179">
        <v>0</v>
      </c>
      <c r="H3" s="179">
        <v>0</v>
      </c>
      <c r="I3" s="179">
        <v>0</v>
      </c>
      <c r="J3" s="179">
        <v>0</v>
      </c>
      <c r="K3" s="179">
        <v>0</v>
      </c>
      <c r="L3" s="179">
        <v>0</v>
      </c>
      <c r="M3" s="179">
        <v>0</v>
      </c>
      <c r="N3" s="179">
        <v>0</v>
      </c>
    </row>
    <row r="4" spans="1:64" x14ac:dyDescent="0.25">
      <c r="A4" s="180" t="s">
        <v>43</v>
      </c>
      <c r="B4" s="180" t="s">
        <v>4</v>
      </c>
      <c r="C4" s="180" t="s">
        <v>5</v>
      </c>
      <c r="D4" s="4">
        <f t="shared" si="0"/>
        <v>7</v>
      </c>
      <c r="E4" s="181" t="s">
        <v>30</v>
      </c>
      <c r="F4" s="181" t="s">
        <v>6</v>
      </c>
      <c r="G4" s="181" t="s">
        <v>7</v>
      </c>
      <c r="H4" s="181" t="s">
        <v>31</v>
      </c>
      <c r="I4" s="181" t="s">
        <v>32</v>
      </c>
      <c r="J4" s="181" t="s">
        <v>33</v>
      </c>
      <c r="K4" s="181" t="s">
        <v>34</v>
      </c>
      <c r="L4" s="181" t="s">
        <v>35</v>
      </c>
      <c r="M4" s="181" t="s">
        <v>36</v>
      </c>
      <c r="N4" s="181" t="s">
        <v>44</v>
      </c>
      <c r="O4" s="181" t="s">
        <v>45</v>
      </c>
      <c r="P4" s="181" t="s">
        <v>46</v>
      </c>
      <c r="Q4" s="181" t="s">
        <v>47</v>
      </c>
      <c r="R4" s="181" t="s">
        <v>48</v>
      </c>
      <c r="S4" s="181" t="s">
        <v>37</v>
      </c>
      <c r="T4" s="181" t="s">
        <v>38</v>
      </c>
      <c r="U4" s="181" t="s">
        <v>15</v>
      </c>
      <c r="V4" s="181" t="s">
        <v>23</v>
      </c>
      <c r="W4" s="181" t="s">
        <v>39</v>
      </c>
    </row>
    <row r="5" spans="1:64" x14ac:dyDescent="0.25">
      <c r="A5" s="6" t="str">
        <f>$A$3&amp;"_"&amp;"PB_EN"</f>
        <v>BXX_WTN1_FI1_PB_EN</v>
      </c>
      <c r="B5" s="6" t="str">
        <f>$A$3</f>
        <v>BXX_WTN1_FI1</v>
      </c>
      <c r="C5" s="6" t="str">
        <f>$C$3 &amp; " Totalization Enable"</f>
        <v>Rain Gauge Totalization Enable</v>
      </c>
      <c r="D5" s="4">
        <f>LEN(C5)</f>
        <v>30</v>
      </c>
      <c r="E5" s="182" t="s">
        <v>1</v>
      </c>
      <c r="F5" s="182" t="s">
        <v>0</v>
      </c>
      <c r="G5" s="182">
        <v>600</v>
      </c>
      <c r="H5" s="182" t="s">
        <v>0</v>
      </c>
      <c r="I5" s="182" t="s">
        <v>40</v>
      </c>
      <c r="J5" s="182" t="s">
        <v>53</v>
      </c>
      <c r="K5" s="182" t="s">
        <v>52</v>
      </c>
      <c r="L5" s="182" t="s">
        <v>41</v>
      </c>
      <c r="M5" s="182">
        <v>900</v>
      </c>
      <c r="N5" s="182" t="s">
        <v>49</v>
      </c>
      <c r="O5" s="2" t="s">
        <v>2</v>
      </c>
      <c r="P5" s="182" t="s">
        <v>1</v>
      </c>
      <c r="Q5" s="6" t="str">
        <f>$A$3&amp;".PB_EN"</f>
        <v>BXX_WTN1_FI1.PB_EN</v>
      </c>
      <c r="R5" s="182" t="s">
        <v>1</v>
      </c>
      <c r="S5" s="6" t="str">
        <f>C5</f>
        <v>Rain Gauge Totalization Enable</v>
      </c>
      <c r="T5" s="182">
        <v>0</v>
      </c>
      <c r="U5" s="182">
        <v>0</v>
      </c>
    </row>
    <row r="6" spans="1:64" x14ac:dyDescent="0.25">
      <c r="A6" s="183" t="s">
        <v>107</v>
      </c>
      <c r="B6" s="183" t="s">
        <v>4</v>
      </c>
      <c r="C6" s="183" t="s">
        <v>5</v>
      </c>
      <c r="D6" s="4">
        <f>LEN(C6)</f>
        <v>7</v>
      </c>
      <c r="E6" s="184" t="s">
        <v>30</v>
      </c>
      <c r="F6" s="184" t="s">
        <v>6</v>
      </c>
      <c r="G6" s="184" t="s">
        <v>7</v>
      </c>
      <c r="H6" s="184" t="s">
        <v>31</v>
      </c>
      <c r="I6" s="184" t="s">
        <v>66</v>
      </c>
      <c r="J6" s="184" t="s">
        <v>67</v>
      </c>
      <c r="K6" s="184" t="s">
        <v>68</v>
      </c>
      <c r="L6" s="184" t="s">
        <v>69</v>
      </c>
      <c r="M6" s="184" t="s">
        <v>70</v>
      </c>
      <c r="N6" s="184" t="s">
        <v>101</v>
      </c>
      <c r="O6" s="184" t="s">
        <v>102</v>
      </c>
      <c r="P6" s="184" t="s">
        <v>73</v>
      </c>
      <c r="Q6" s="184" t="s">
        <v>74</v>
      </c>
      <c r="R6" s="184" t="s">
        <v>75</v>
      </c>
      <c r="S6" s="184" t="s">
        <v>76</v>
      </c>
      <c r="T6" s="184" t="s">
        <v>77</v>
      </c>
      <c r="U6" s="184" t="s">
        <v>78</v>
      </c>
      <c r="V6" s="184" t="s">
        <v>79</v>
      </c>
      <c r="W6" s="184" t="s">
        <v>80</v>
      </c>
      <c r="X6" s="184" t="s">
        <v>81</v>
      </c>
      <c r="Y6" s="184" t="s">
        <v>82</v>
      </c>
      <c r="Z6" s="184" t="s">
        <v>83</v>
      </c>
      <c r="AA6" s="184" t="s">
        <v>84</v>
      </c>
      <c r="AB6" s="184" t="s">
        <v>85</v>
      </c>
      <c r="AC6" s="184" t="s">
        <v>86</v>
      </c>
      <c r="AD6" s="184" t="s">
        <v>87</v>
      </c>
      <c r="AE6" s="184" t="s">
        <v>88</v>
      </c>
      <c r="AF6" s="184" t="s">
        <v>89</v>
      </c>
      <c r="AG6" s="184" t="s">
        <v>90</v>
      </c>
      <c r="AH6" s="184" t="s">
        <v>91</v>
      </c>
      <c r="AI6" s="184" t="s">
        <v>92</v>
      </c>
      <c r="AJ6" s="184" t="s">
        <v>93</v>
      </c>
      <c r="AK6" s="184" t="s">
        <v>94</v>
      </c>
      <c r="AL6" s="184" t="s">
        <v>95</v>
      </c>
      <c r="AM6" s="184" t="s">
        <v>96</v>
      </c>
      <c r="AN6" s="184" t="s">
        <v>97</v>
      </c>
      <c r="AO6" s="184" t="s">
        <v>103</v>
      </c>
      <c r="AP6" s="184" t="s">
        <v>104</v>
      </c>
      <c r="AQ6" s="184" t="s">
        <v>105</v>
      </c>
      <c r="AR6" s="184" t="s">
        <v>45</v>
      </c>
      <c r="AS6" s="184" t="s">
        <v>46</v>
      </c>
      <c r="AT6" s="184" t="s">
        <v>47</v>
      </c>
      <c r="AU6" s="184" t="s">
        <v>48</v>
      </c>
      <c r="AV6" s="184" t="s">
        <v>37</v>
      </c>
      <c r="AW6" s="184" t="s">
        <v>38</v>
      </c>
      <c r="AX6" s="184" t="s">
        <v>8</v>
      </c>
      <c r="AY6" s="184" t="s">
        <v>9</v>
      </c>
      <c r="AZ6" s="184" t="s">
        <v>10</v>
      </c>
      <c r="BA6" s="184" t="s">
        <v>11</v>
      </c>
      <c r="BB6" s="184" t="s">
        <v>12</v>
      </c>
      <c r="BC6" s="184" t="s">
        <v>13</v>
      </c>
      <c r="BD6" s="184" t="s">
        <v>14</v>
      </c>
      <c r="BE6" s="184" t="s">
        <v>16</v>
      </c>
      <c r="BF6" s="184" t="s">
        <v>17</v>
      </c>
      <c r="BG6" s="184" t="s">
        <v>18</v>
      </c>
      <c r="BH6" s="184" t="s">
        <v>19</v>
      </c>
      <c r="BI6" s="184" t="s">
        <v>20</v>
      </c>
      <c r="BJ6" s="184" t="s">
        <v>21</v>
      </c>
      <c r="BK6" s="184" t="s">
        <v>22</v>
      </c>
      <c r="BL6" s="184" t="s">
        <v>39</v>
      </c>
    </row>
    <row r="7" spans="1:64" x14ac:dyDescent="0.25">
      <c r="A7" s="6" t="str">
        <f>$A$3&amp;"_"&amp;"AI_YM"</f>
        <v>BXX_WTN1_FI1_AI_YM</v>
      </c>
      <c r="B7" s="6" t="str">
        <f>$A$3</f>
        <v>BXX_WTN1_FI1</v>
      </c>
      <c r="C7" s="6" t="str">
        <f>$C$3 &amp; " Last Month Total Rainfall"</f>
        <v>Rain Gauge Last Month Total Rainfall</v>
      </c>
      <c r="D7" s="4">
        <f>LEN(C7)</f>
        <v>36</v>
      </c>
      <c r="E7" s="185" t="s">
        <v>0</v>
      </c>
      <c r="F7" s="185" t="s">
        <v>1</v>
      </c>
      <c r="G7" s="185">
        <v>0</v>
      </c>
      <c r="H7" s="185" t="s">
        <v>0</v>
      </c>
      <c r="I7" s="185" t="s">
        <v>1</v>
      </c>
      <c r="J7" s="185">
        <v>0</v>
      </c>
      <c r="K7" s="185">
        <v>0</v>
      </c>
      <c r="L7" s="185" t="s">
        <v>378</v>
      </c>
      <c r="M7" s="185">
        <v>0</v>
      </c>
      <c r="N7" s="185">
        <v>0</v>
      </c>
      <c r="O7" s="185">
        <v>5000</v>
      </c>
      <c r="P7" s="185">
        <v>0</v>
      </c>
      <c r="Q7" s="185">
        <v>0</v>
      </c>
      <c r="R7" s="185" t="s">
        <v>40</v>
      </c>
      <c r="S7" s="185">
        <v>0</v>
      </c>
      <c r="T7" s="185">
        <v>1</v>
      </c>
      <c r="U7" s="185" t="s">
        <v>40</v>
      </c>
      <c r="V7" s="185">
        <v>0</v>
      </c>
      <c r="W7" s="185">
        <v>1</v>
      </c>
      <c r="X7" s="185" t="s">
        <v>40</v>
      </c>
      <c r="Y7" s="185">
        <v>0</v>
      </c>
      <c r="Z7" s="185">
        <v>1</v>
      </c>
      <c r="AA7" s="185" t="s">
        <v>40</v>
      </c>
      <c r="AB7" s="185">
        <v>0</v>
      </c>
      <c r="AC7" s="185">
        <v>1</v>
      </c>
      <c r="AD7" s="185" t="s">
        <v>40</v>
      </c>
      <c r="AE7" s="185">
        <v>0</v>
      </c>
      <c r="AF7" s="185">
        <v>1</v>
      </c>
      <c r="AG7" s="185" t="s">
        <v>40</v>
      </c>
      <c r="AH7" s="185">
        <v>0</v>
      </c>
      <c r="AI7" s="185">
        <v>1</v>
      </c>
      <c r="AJ7" s="185">
        <v>0</v>
      </c>
      <c r="AK7" s="185" t="s">
        <v>40</v>
      </c>
      <c r="AL7" s="185">
        <v>0</v>
      </c>
      <c r="AM7" s="185">
        <v>1</v>
      </c>
      <c r="AN7" s="185" t="s">
        <v>98</v>
      </c>
      <c r="AO7" s="185">
        <v>0</v>
      </c>
      <c r="AP7" s="185">
        <v>5000</v>
      </c>
      <c r="AQ7" s="185" t="s">
        <v>106</v>
      </c>
      <c r="AR7" s="6" t="str">
        <f>$O$5</f>
        <v>BXX</v>
      </c>
      <c r="AS7" s="185" t="s">
        <v>1</v>
      </c>
      <c r="AT7" s="6" t="str">
        <f>$A$3&amp;".AI_YM"</f>
        <v>BXX_WTN1_FI1.AI_YM</v>
      </c>
      <c r="AU7" s="185" t="s">
        <v>1</v>
      </c>
      <c r="AV7" s="6" t="str">
        <f>C7</f>
        <v>Rain Gauge Last Month Total Rainfall</v>
      </c>
      <c r="AW7" s="185">
        <v>0</v>
      </c>
      <c r="AX7" s="185">
        <v>0</v>
      </c>
      <c r="AY7" s="185">
        <v>0</v>
      </c>
      <c r="AZ7" s="185">
        <v>0</v>
      </c>
      <c r="BA7" s="185">
        <v>0</v>
      </c>
      <c r="BB7" s="185">
        <v>0</v>
      </c>
      <c r="BC7" s="185">
        <v>0</v>
      </c>
      <c r="BD7" s="185">
        <v>0</v>
      </c>
    </row>
    <row r="8" spans="1:64" x14ac:dyDescent="0.25">
      <c r="A8" s="6" t="str">
        <f>$A$3&amp;"_"&amp;"AI_L5"</f>
        <v>BXX_WTN1_FI1_AI_L5</v>
      </c>
      <c r="B8" s="6" t="str">
        <f t="shared" ref="B8:B19" si="1">$A$3</f>
        <v>BXX_WTN1_FI1</v>
      </c>
      <c r="C8" s="6" t="str">
        <f>$C$3 &amp; " Last 5 Minutes Total Rainfall"</f>
        <v>Rain Gauge Last 5 Minutes Total Rainfall</v>
      </c>
      <c r="D8" s="4">
        <f>LEN(C8)</f>
        <v>40</v>
      </c>
      <c r="E8" s="186" t="s">
        <v>0</v>
      </c>
      <c r="F8" s="186" t="s">
        <v>1</v>
      </c>
      <c r="G8" s="186">
        <v>0</v>
      </c>
      <c r="H8" s="186" t="s">
        <v>0</v>
      </c>
      <c r="I8" s="186" t="s">
        <v>1</v>
      </c>
      <c r="J8" s="186">
        <v>0</v>
      </c>
      <c r="K8" s="186">
        <v>0</v>
      </c>
      <c r="L8" s="186" t="s">
        <v>378</v>
      </c>
      <c r="M8" s="186">
        <v>0</v>
      </c>
      <c r="N8" s="186">
        <v>0</v>
      </c>
      <c r="O8" s="186">
        <v>5000</v>
      </c>
      <c r="P8" s="186">
        <v>0</v>
      </c>
      <c r="Q8" s="186">
        <v>0</v>
      </c>
      <c r="R8" s="186" t="s">
        <v>40</v>
      </c>
      <c r="S8" s="186">
        <v>0</v>
      </c>
      <c r="T8" s="186">
        <v>1</v>
      </c>
      <c r="U8" s="186" t="s">
        <v>40</v>
      </c>
      <c r="V8" s="186">
        <v>0</v>
      </c>
      <c r="W8" s="186">
        <v>1</v>
      </c>
      <c r="X8" s="186" t="s">
        <v>40</v>
      </c>
      <c r="Y8" s="186">
        <v>0</v>
      </c>
      <c r="Z8" s="186">
        <v>1</v>
      </c>
      <c r="AA8" s="186" t="s">
        <v>40</v>
      </c>
      <c r="AB8" s="186">
        <v>0</v>
      </c>
      <c r="AC8" s="186">
        <v>1</v>
      </c>
      <c r="AD8" s="186" t="s">
        <v>40</v>
      </c>
      <c r="AE8" s="186">
        <v>0</v>
      </c>
      <c r="AF8" s="186">
        <v>1</v>
      </c>
      <c r="AG8" s="186" t="s">
        <v>40</v>
      </c>
      <c r="AH8" s="186">
        <v>0</v>
      </c>
      <c r="AI8" s="186">
        <v>1</v>
      </c>
      <c r="AJ8" s="186">
        <v>0</v>
      </c>
      <c r="AK8" s="186" t="s">
        <v>40</v>
      </c>
      <c r="AL8" s="186">
        <v>0</v>
      </c>
      <c r="AM8" s="186">
        <v>1</v>
      </c>
      <c r="AN8" s="186" t="s">
        <v>98</v>
      </c>
      <c r="AO8" s="186">
        <v>0</v>
      </c>
      <c r="AP8" s="186">
        <v>5000</v>
      </c>
      <c r="AQ8" s="186" t="s">
        <v>106</v>
      </c>
      <c r="AR8" s="6" t="str">
        <f t="shared" ref="AR8:AR19" si="2">$O$5</f>
        <v>BXX</v>
      </c>
      <c r="AS8" s="186" t="s">
        <v>1</v>
      </c>
      <c r="AT8" s="6" t="str">
        <f>$A$3&amp;".AI_L5"</f>
        <v>BXX_WTN1_FI1.AI_L5</v>
      </c>
      <c r="AU8" s="186" t="s">
        <v>1</v>
      </c>
      <c r="AV8" s="6" t="str">
        <f t="shared" ref="AV8:AV19" si="3">C8</f>
        <v>Rain Gauge Last 5 Minutes Total Rainfall</v>
      </c>
      <c r="AW8" s="186">
        <v>0</v>
      </c>
      <c r="AX8" s="186">
        <v>0</v>
      </c>
      <c r="AY8" s="186">
        <v>0</v>
      </c>
      <c r="AZ8" s="186">
        <v>0</v>
      </c>
      <c r="BA8" s="186">
        <v>0</v>
      </c>
      <c r="BB8" s="186">
        <v>0</v>
      </c>
      <c r="BC8" s="186">
        <v>0</v>
      </c>
      <c r="BD8" s="186">
        <v>0</v>
      </c>
    </row>
    <row r="9" spans="1:64" x14ac:dyDescent="0.25">
      <c r="A9" s="6" t="str">
        <f>$A$3&amp;"_"&amp;"AI_HT"</f>
        <v>BXX_WTN1_FI1_AI_HT</v>
      </c>
      <c r="B9" s="6" t="str">
        <f t="shared" si="1"/>
        <v>BXX_WTN1_FI1</v>
      </c>
      <c r="C9" s="6" t="str">
        <f>$C$3 &amp; " Current Hour Total Rainfall"</f>
        <v>Rain Gauge Current Hour Total Rainfall</v>
      </c>
      <c r="D9" s="4">
        <f t="shared" ref="D9:D33" si="4">LEN(C9)</f>
        <v>38</v>
      </c>
      <c r="E9" s="187" t="s">
        <v>1</v>
      </c>
      <c r="F9" s="187" t="s">
        <v>1</v>
      </c>
      <c r="G9" s="187">
        <v>0</v>
      </c>
      <c r="H9" s="187" t="s">
        <v>0</v>
      </c>
      <c r="I9" s="187" t="s">
        <v>1</v>
      </c>
      <c r="J9" s="187">
        <v>0</v>
      </c>
      <c r="K9" s="187">
        <v>0</v>
      </c>
      <c r="L9" s="187" t="s">
        <v>378</v>
      </c>
      <c r="M9" s="187">
        <v>0</v>
      </c>
      <c r="N9" s="187">
        <v>0</v>
      </c>
      <c r="O9" s="187">
        <v>5000</v>
      </c>
      <c r="P9" s="187">
        <v>0</v>
      </c>
      <c r="Q9" s="187">
        <v>0</v>
      </c>
      <c r="R9" s="187" t="s">
        <v>40</v>
      </c>
      <c r="S9" s="187">
        <v>0</v>
      </c>
      <c r="T9" s="187">
        <v>1</v>
      </c>
      <c r="U9" s="187" t="s">
        <v>40</v>
      </c>
      <c r="V9" s="187">
        <v>0</v>
      </c>
      <c r="W9" s="187">
        <v>1</v>
      </c>
      <c r="X9" s="187" t="s">
        <v>40</v>
      </c>
      <c r="Y9" s="187">
        <v>0</v>
      </c>
      <c r="Z9" s="187">
        <v>1</v>
      </c>
      <c r="AA9" s="187" t="s">
        <v>40</v>
      </c>
      <c r="AB9" s="187">
        <v>0</v>
      </c>
      <c r="AC9" s="187">
        <v>1</v>
      </c>
      <c r="AD9" s="187" t="s">
        <v>40</v>
      </c>
      <c r="AE9" s="187">
        <v>0</v>
      </c>
      <c r="AF9" s="187">
        <v>1</v>
      </c>
      <c r="AG9" s="187" t="s">
        <v>40</v>
      </c>
      <c r="AH9" s="187">
        <v>0</v>
      </c>
      <c r="AI9" s="187">
        <v>1</v>
      </c>
      <c r="AJ9" s="187">
        <v>0</v>
      </c>
      <c r="AK9" s="187" t="s">
        <v>40</v>
      </c>
      <c r="AL9" s="187">
        <v>0</v>
      </c>
      <c r="AM9" s="187">
        <v>1</v>
      </c>
      <c r="AN9" s="187" t="s">
        <v>98</v>
      </c>
      <c r="AO9" s="187">
        <v>0</v>
      </c>
      <c r="AP9" s="187">
        <v>5000</v>
      </c>
      <c r="AQ9" s="187" t="s">
        <v>106</v>
      </c>
      <c r="AR9" s="6" t="str">
        <f t="shared" si="2"/>
        <v>BXX</v>
      </c>
      <c r="AS9" s="187" t="s">
        <v>1</v>
      </c>
      <c r="AT9" s="6" t="str">
        <f>$A$3&amp;".AI_HT"</f>
        <v>BXX_WTN1_FI1.AI_HT</v>
      </c>
      <c r="AU9" s="187" t="s">
        <v>1</v>
      </c>
      <c r="AV9" s="6" t="str">
        <f t="shared" si="3"/>
        <v>Rain Gauge Current Hour Total Rainfall</v>
      </c>
      <c r="AW9" s="187">
        <v>0</v>
      </c>
      <c r="AX9" s="187">
        <v>0</v>
      </c>
      <c r="AY9" s="187">
        <v>0</v>
      </c>
      <c r="AZ9" s="187">
        <v>0</v>
      </c>
      <c r="BA9" s="187">
        <v>0</v>
      </c>
      <c r="BB9" s="187">
        <v>0</v>
      </c>
      <c r="BC9" s="187">
        <v>0</v>
      </c>
      <c r="BD9" s="187">
        <v>0</v>
      </c>
    </row>
    <row r="10" spans="1:64" x14ac:dyDescent="0.25">
      <c r="A10" s="6" t="str">
        <f>$A$3&amp;"_"&amp;"AI_YT"</f>
        <v>BXX_WTN1_FI1_AI_YT</v>
      </c>
      <c r="B10" s="6" t="str">
        <f t="shared" si="1"/>
        <v>BXX_WTN1_FI1</v>
      </c>
      <c r="C10" s="6" t="str">
        <f>$C$3 &amp; " Yesterday Total Rainfall"</f>
        <v>Rain Gauge Yesterday Total Rainfall</v>
      </c>
      <c r="D10" s="4">
        <f t="shared" si="4"/>
        <v>35</v>
      </c>
      <c r="E10" s="187" t="s">
        <v>0</v>
      </c>
      <c r="F10" s="187" t="s">
        <v>1</v>
      </c>
      <c r="G10" s="187">
        <v>0</v>
      </c>
      <c r="H10" s="187" t="s">
        <v>0</v>
      </c>
      <c r="I10" s="187" t="s">
        <v>1</v>
      </c>
      <c r="J10" s="187">
        <v>0</v>
      </c>
      <c r="K10" s="187">
        <v>0</v>
      </c>
      <c r="L10" s="187" t="s">
        <v>378</v>
      </c>
      <c r="M10" s="187">
        <v>0</v>
      </c>
      <c r="N10" s="187">
        <v>0</v>
      </c>
      <c r="O10" s="187">
        <v>5000</v>
      </c>
      <c r="P10" s="187">
        <v>0</v>
      </c>
      <c r="Q10" s="187">
        <v>0</v>
      </c>
      <c r="R10" s="187" t="s">
        <v>40</v>
      </c>
      <c r="S10" s="187">
        <v>0</v>
      </c>
      <c r="T10" s="187">
        <v>1</v>
      </c>
      <c r="U10" s="187" t="s">
        <v>40</v>
      </c>
      <c r="V10" s="187">
        <v>0</v>
      </c>
      <c r="W10" s="187">
        <v>1</v>
      </c>
      <c r="X10" s="187" t="s">
        <v>40</v>
      </c>
      <c r="Y10" s="187">
        <v>0</v>
      </c>
      <c r="Z10" s="187">
        <v>1</v>
      </c>
      <c r="AA10" s="187" t="s">
        <v>40</v>
      </c>
      <c r="AB10" s="187">
        <v>0</v>
      </c>
      <c r="AC10" s="187">
        <v>1</v>
      </c>
      <c r="AD10" s="187" t="s">
        <v>40</v>
      </c>
      <c r="AE10" s="187">
        <v>0</v>
      </c>
      <c r="AF10" s="187">
        <v>1</v>
      </c>
      <c r="AG10" s="187" t="s">
        <v>40</v>
      </c>
      <c r="AH10" s="187">
        <v>0</v>
      </c>
      <c r="AI10" s="187">
        <v>1</v>
      </c>
      <c r="AJ10" s="187">
        <v>0</v>
      </c>
      <c r="AK10" s="187" t="s">
        <v>40</v>
      </c>
      <c r="AL10" s="187">
        <v>0</v>
      </c>
      <c r="AM10" s="187">
        <v>1</v>
      </c>
      <c r="AN10" s="187" t="s">
        <v>98</v>
      </c>
      <c r="AO10" s="187">
        <v>0</v>
      </c>
      <c r="AP10" s="187">
        <v>5000</v>
      </c>
      <c r="AQ10" s="187" t="s">
        <v>106</v>
      </c>
      <c r="AR10" s="6" t="str">
        <f t="shared" si="2"/>
        <v>BXX</v>
      </c>
      <c r="AS10" s="187" t="s">
        <v>1</v>
      </c>
      <c r="AT10" s="6" t="str">
        <f>$A$3&amp;".AI_YT"</f>
        <v>BXX_WTN1_FI1.AI_YT</v>
      </c>
      <c r="AU10" s="187" t="s">
        <v>1</v>
      </c>
      <c r="AV10" s="6" t="str">
        <f t="shared" si="3"/>
        <v>Rain Gauge Yesterday Total Rainfall</v>
      </c>
      <c r="AW10" s="187">
        <v>0</v>
      </c>
      <c r="AX10" s="187">
        <v>0</v>
      </c>
      <c r="AY10" s="187">
        <v>0</v>
      </c>
      <c r="AZ10" s="187">
        <v>0</v>
      </c>
      <c r="BA10" s="187">
        <v>0</v>
      </c>
      <c r="BB10" s="187">
        <v>0</v>
      </c>
      <c r="BC10" s="187">
        <v>0</v>
      </c>
      <c r="BD10" s="187">
        <v>0</v>
      </c>
    </row>
    <row r="11" spans="1:64" x14ac:dyDescent="0.25">
      <c r="A11" s="6" t="str">
        <f>$A$3&amp;"_"&amp;"AO_CF"</f>
        <v>BXX_WTN1_FI1_AO_CF</v>
      </c>
      <c r="B11" s="6" t="str">
        <f t="shared" si="1"/>
        <v>BXX_WTN1_FI1</v>
      </c>
      <c r="C11" s="6" t="str">
        <f>$C$3 &amp; " Rain Gauge Calibration Factor"</f>
        <v>Rain Gauge Rain Gauge Calibration Factor</v>
      </c>
      <c r="D11" s="4">
        <f t="shared" si="4"/>
        <v>40</v>
      </c>
      <c r="E11" s="188" t="s">
        <v>1</v>
      </c>
      <c r="F11" s="188" t="s">
        <v>0</v>
      </c>
      <c r="G11" s="2">
        <v>900</v>
      </c>
      <c r="H11" s="188" t="s">
        <v>0</v>
      </c>
      <c r="I11" s="188" t="s">
        <v>1</v>
      </c>
      <c r="J11" s="188">
        <v>0</v>
      </c>
      <c r="K11" s="188">
        <v>0</v>
      </c>
      <c r="L11" s="188" t="s">
        <v>379</v>
      </c>
      <c r="M11" s="188">
        <v>0</v>
      </c>
      <c r="N11" s="188">
        <v>0</v>
      </c>
      <c r="O11" s="188">
        <v>5000</v>
      </c>
      <c r="P11" s="188">
        <v>0</v>
      </c>
      <c r="Q11" s="188">
        <v>0</v>
      </c>
      <c r="R11" s="188" t="s">
        <v>40</v>
      </c>
      <c r="S11" s="188">
        <v>0</v>
      </c>
      <c r="T11" s="188">
        <v>1</v>
      </c>
      <c r="U11" s="188" t="s">
        <v>40</v>
      </c>
      <c r="V11" s="188">
        <v>0</v>
      </c>
      <c r="W11" s="188">
        <v>1</v>
      </c>
      <c r="X11" s="188" t="s">
        <v>40</v>
      </c>
      <c r="Y11" s="188">
        <v>0</v>
      </c>
      <c r="Z11" s="188">
        <v>1</v>
      </c>
      <c r="AA11" s="188" t="s">
        <v>40</v>
      </c>
      <c r="AB11" s="188">
        <v>0</v>
      </c>
      <c r="AC11" s="188">
        <v>1</v>
      </c>
      <c r="AD11" s="188" t="s">
        <v>40</v>
      </c>
      <c r="AE11" s="188">
        <v>0</v>
      </c>
      <c r="AF11" s="188">
        <v>1</v>
      </c>
      <c r="AG11" s="188" t="s">
        <v>40</v>
      </c>
      <c r="AH11" s="188">
        <v>0</v>
      </c>
      <c r="AI11" s="188">
        <v>1</v>
      </c>
      <c r="AJ11" s="188">
        <v>0</v>
      </c>
      <c r="AK11" s="188" t="s">
        <v>40</v>
      </c>
      <c r="AL11" s="188">
        <v>0</v>
      </c>
      <c r="AM11" s="188">
        <v>1</v>
      </c>
      <c r="AN11" s="188" t="s">
        <v>98</v>
      </c>
      <c r="AO11" s="188">
        <v>0</v>
      </c>
      <c r="AP11" s="188">
        <v>5000</v>
      </c>
      <c r="AQ11" s="188" t="s">
        <v>106</v>
      </c>
      <c r="AR11" s="6" t="str">
        <f t="shared" si="2"/>
        <v>BXX</v>
      </c>
      <c r="AS11" s="188" t="s">
        <v>1</v>
      </c>
      <c r="AT11" s="6" t="str">
        <f>$A$3&amp;".AO_CF"</f>
        <v>BXX_WTN1_FI1.AO_CF</v>
      </c>
      <c r="AU11" s="188" t="s">
        <v>1</v>
      </c>
      <c r="AV11" s="6" t="str">
        <f t="shared" si="3"/>
        <v>Rain Gauge Rain Gauge Calibration Factor</v>
      </c>
      <c r="AW11" s="188">
        <v>0</v>
      </c>
      <c r="AX11" s="188">
        <v>0</v>
      </c>
      <c r="AY11" s="188">
        <v>0</v>
      </c>
      <c r="AZ11" s="188">
        <v>0</v>
      </c>
      <c r="BA11" s="188">
        <v>0</v>
      </c>
      <c r="BB11" s="188">
        <v>0</v>
      </c>
      <c r="BC11" s="188">
        <v>0</v>
      </c>
      <c r="BD11" s="188">
        <v>0</v>
      </c>
    </row>
    <row r="12" spans="1:64" x14ac:dyDescent="0.25">
      <c r="A12" s="6" t="str">
        <f>$A$3&amp;"_"&amp;"AI_C5"</f>
        <v>BXX_WTN1_FI1_AI_C5</v>
      </c>
      <c r="B12" s="6" t="str">
        <f t="shared" si="1"/>
        <v>BXX_WTN1_FI1</v>
      </c>
      <c r="C12" s="6" t="str">
        <f>$C$3 &amp; " Current 5 Minutes Total Rainfall"</f>
        <v>Rain Gauge Current 5 Minutes Total Rainfall</v>
      </c>
      <c r="D12" s="4">
        <f t="shared" si="4"/>
        <v>43</v>
      </c>
      <c r="E12" s="188" t="s">
        <v>1</v>
      </c>
      <c r="F12" s="188" t="s">
        <v>1</v>
      </c>
      <c r="G12" s="188">
        <v>0</v>
      </c>
      <c r="H12" s="188" t="s">
        <v>0</v>
      </c>
      <c r="I12" s="188" t="s">
        <v>1</v>
      </c>
      <c r="J12" s="188">
        <v>0</v>
      </c>
      <c r="K12" s="188">
        <v>0</v>
      </c>
      <c r="L12" s="188" t="s">
        <v>378</v>
      </c>
      <c r="M12" s="188">
        <v>0</v>
      </c>
      <c r="N12" s="188">
        <v>0</v>
      </c>
      <c r="O12" s="188">
        <v>5000</v>
      </c>
      <c r="P12" s="188">
        <v>0</v>
      </c>
      <c r="Q12" s="188">
        <v>0</v>
      </c>
      <c r="R12" s="188" t="s">
        <v>40</v>
      </c>
      <c r="S12" s="188">
        <v>0</v>
      </c>
      <c r="T12" s="188">
        <v>1</v>
      </c>
      <c r="U12" s="188" t="s">
        <v>40</v>
      </c>
      <c r="V12" s="188">
        <v>0</v>
      </c>
      <c r="W12" s="188">
        <v>1</v>
      </c>
      <c r="X12" s="188" t="s">
        <v>40</v>
      </c>
      <c r="Y12" s="188">
        <v>0</v>
      </c>
      <c r="Z12" s="188">
        <v>1</v>
      </c>
      <c r="AA12" s="188" t="s">
        <v>40</v>
      </c>
      <c r="AB12" s="188">
        <v>0</v>
      </c>
      <c r="AC12" s="188">
        <v>1</v>
      </c>
      <c r="AD12" s="188" t="s">
        <v>40</v>
      </c>
      <c r="AE12" s="188">
        <v>0</v>
      </c>
      <c r="AF12" s="188">
        <v>1</v>
      </c>
      <c r="AG12" s="188" t="s">
        <v>40</v>
      </c>
      <c r="AH12" s="188">
        <v>0</v>
      </c>
      <c r="AI12" s="188">
        <v>1</v>
      </c>
      <c r="AJ12" s="188">
        <v>0</v>
      </c>
      <c r="AK12" s="188" t="s">
        <v>40</v>
      </c>
      <c r="AL12" s="188">
        <v>0</v>
      </c>
      <c r="AM12" s="188">
        <v>1</v>
      </c>
      <c r="AN12" s="188" t="s">
        <v>98</v>
      </c>
      <c r="AO12" s="188">
        <v>0</v>
      </c>
      <c r="AP12" s="188">
        <v>5000</v>
      </c>
      <c r="AQ12" s="188" t="s">
        <v>106</v>
      </c>
      <c r="AR12" s="6" t="str">
        <f t="shared" si="2"/>
        <v>BXX</v>
      </c>
      <c r="AS12" s="188" t="s">
        <v>1</v>
      </c>
      <c r="AT12" s="6" t="str">
        <f>$A$3&amp;".AI_C5"</f>
        <v>BXX_WTN1_FI1.AI_C5</v>
      </c>
      <c r="AU12" s="188" t="s">
        <v>1</v>
      </c>
      <c r="AV12" s="6" t="str">
        <f t="shared" si="3"/>
        <v>Rain Gauge Current 5 Minutes Total Rainfall</v>
      </c>
      <c r="AW12" s="188">
        <v>0</v>
      </c>
      <c r="AX12" s="188">
        <v>0</v>
      </c>
      <c r="AY12" s="188">
        <v>0</v>
      </c>
      <c r="AZ12" s="188">
        <v>0</v>
      </c>
      <c r="BA12" s="188">
        <v>0</v>
      </c>
      <c r="BB12" s="188">
        <v>0</v>
      </c>
      <c r="BC12" s="188">
        <v>0</v>
      </c>
      <c r="BD12" s="188">
        <v>0</v>
      </c>
    </row>
    <row r="13" spans="1:64" x14ac:dyDescent="0.25">
      <c r="A13" s="6" t="str">
        <f>$A$3&amp;"_"&amp;"AI_TD"</f>
        <v>BXX_WTN1_FI1_AI_TD</v>
      </c>
      <c r="B13" s="6" t="str">
        <f t="shared" si="1"/>
        <v>BXX_WTN1_FI1</v>
      </c>
      <c r="C13" s="6" t="str">
        <f>$C$3 &amp; " Current Day Total Rainfall"</f>
        <v>Rain Gauge Current Day Total Rainfall</v>
      </c>
      <c r="D13" s="4">
        <f t="shared" si="4"/>
        <v>37</v>
      </c>
      <c r="E13" s="188" t="s">
        <v>1</v>
      </c>
      <c r="F13" s="188" t="s">
        <v>1</v>
      </c>
      <c r="G13" s="188">
        <v>0</v>
      </c>
      <c r="H13" s="188" t="s">
        <v>0</v>
      </c>
      <c r="I13" s="188" t="s">
        <v>1</v>
      </c>
      <c r="J13" s="188">
        <v>0</v>
      </c>
      <c r="K13" s="188">
        <v>0</v>
      </c>
      <c r="L13" s="188" t="s">
        <v>378</v>
      </c>
      <c r="M13" s="188">
        <v>0</v>
      </c>
      <c r="N13" s="188">
        <v>0</v>
      </c>
      <c r="O13" s="188">
        <v>5000</v>
      </c>
      <c r="P13" s="188">
        <v>0</v>
      </c>
      <c r="Q13" s="188">
        <v>0</v>
      </c>
      <c r="R13" s="188" t="s">
        <v>40</v>
      </c>
      <c r="S13" s="188">
        <v>0</v>
      </c>
      <c r="T13" s="188">
        <v>1</v>
      </c>
      <c r="U13" s="188" t="s">
        <v>40</v>
      </c>
      <c r="V13" s="188">
        <v>0</v>
      </c>
      <c r="W13" s="188">
        <v>1</v>
      </c>
      <c r="X13" s="188" t="s">
        <v>40</v>
      </c>
      <c r="Y13" s="188">
        <v>0</v>
      </c>
      <c r="Z13" s="188">
        <v>1</v>
      </c>
      <c r="AA13" s="188" t="s">
        <v>40</v>
      </c>
      <c r="AB13" s="188">
        <v>0</v>
      </c>
      <c r="AC13" s="188">
        <v>1</v>
      </c>
      <c r="AD13" s="188" t="s">
        <v>40</v>
      </c>
      <c r="AE13" s="188">
        <v>0</v>
      </c>
      <c r="AF13" s="188">
        <v>1</v>
      </c>
      <c r="AG13" s="188" t="s">
        <v>40</v>
      </c>
      <c r="AH13" s="188">
        <v>0</v>
      </c>
      <c r="AI13" s="188">
        <v>1</v>
      </c>
      <c r="AJ13" s="188">
        <v>0</v>
      </c>
      <c r="AK13" s="188" t="s">
        <v>40</v>
      </c>
      <c r="AL13" s="188">
        <v>0</v>
      </c>
      <c r="AM13" s="188">
        <v>1</v>
      </c>
      <c r="AN13" s="188" t="s">
        <v>98</v>
      </c>
      <c r="AO13" s="188">
        <v>0</v>
      </c>
      <c r="AP13" s="188">
        <v>5000</v>
      </c>
      <c r="AQ13" s="188" t="s">
        <v>106</v>
      </c>
      <c r="AR13" s="6" t="str">
        <f t="shared" si="2"/>
        <v>BXX</v>
      </c>
      <c r="AS13" s="188" t="s">
        <v>1</v>
      </c>
      <c r="AT13" s="6" t="str">
        <f>$A$3&amp;".AI_TD"</f>
        <v>BXX_WTN1_FI1.AI_TD</v>
      </c>
      <c r="AU13" s="188" t="s">
        <v>1</v>
      </c>
      <c r="AV13" s="6" t="str">
        <f t="shared" si="3"/>
        <v>Rain Gauge Current Day Total Rainfall</v>
      </c>
      <c r="AW13" s="188">
        <v>0</v>
      </c>
      <c r="AX13" s="188">
        <v>0</v>
      </c>
      <c r="AY13" s="188">
        <v>0</v>
      </c>
      <c r="AZ13" s="188">
        <v>0</v>
      </c>
      <c r="BA13" s="188">
        <v>0</v>
      </c>
      <c r="BB13" s="188">
        <v>0</v>
      </c>
      <c r="BC13" s="188">
        <v>0</v>
      </c>
      <c r="BD13" s="188">
        <v>0</v>
      </c>
    </row>
    <row r="14" spans="1:64" x14ac:dyDescent="0.25">
      <c r="A14" s="6" t="str">
        <f>$A$3&amp;"_"&amp;"AI_TY"</f>
        <v>BXX_WTN1_FI1_AI_TY</v>
      </c>
      <c r="B14" s="6" t="str">
        <f t="shared" si="1"/>
        <v>BXX_WTN1_FI1</v>
      </c>
      <c r="C14" s="6" t="str">
        <f>$C$3 &amp; " Current Year Total Rainfall"</f>
        <v>Rain Gauge Current Year Total Rainfall</v>
      </c>
      <c r="D14" s="4">
        <f t="shared" si="4"/>
        <v>38</v>
      </c>
      <c r="E14" s="188" t="s">
        <v>0</v>
      </c>
      <c r="F14" s="188" t="s">
        <v>1</v>
      </c>
      <c r="G14" s="188">
        <v>0</v>
      </c>
      <c r="H14" s="188" t="s">
        <v>0</v>
      </c>
      <c r="I14" s="188" t="s">
        <v>1</v>
      </c>
      <c r="J14" s="188">
        <v>0</v>
      </c>
      <c r="K14" s="188">
        <v>0</v>
      </c>
      <c r="L14" s="188" t="s">
        <v>378</v>
      </c>
      <c r="M14" s="188">
        <v>0</v>
      </c>
      <c r="N14" s="188">
        <v>0</v>
      </c>
      <c r="O14" s="188">
        <v>5000</v>
      </c>
      <c r="P14" s="188">
        <v>0</v>
      </c>
      <c r="Q14" s="188">
        <v>0</v>
      </c>
      <c r="R14" s="188" t="s">
        <v>40</v>
      </c>
      <c r="S14" s="188">
        <v>0</v>
      </c>
      <c r="T14" s="188">
        <v>1</v>
      </c>
      <c r="U14" s="188" t="s">
        <v>40</v>
      </c>
      <c r="V14" s="188">
        <v>0</v>
      </c>
      <c r="W14" s="188">
        <v>1</v>
      </c>
      <c r="X14" s="188" t="s">
        <v>40</v>
      </c>
      <c r="Y14" s="188">
        <v>0</v>
      </c>
      <c r="Z14" s="188">
        <v>1</v>
      </c>
      <c r="AA14" s="188" t="s">
        <v>40</v>
      </c>
      <c r="AB14" s="188">
        <v>0</v>
      </c>
      <c r="AC14" s="188">
        <v>1</v>
      </c>
      <c r="AD14" s="188" t="s">
        <v>40</v>
      </c>
      <c r="AE14" s="188">
        <v>0</v>
      </c>
      <c r="AF14" s="188">
        <v>1</v>
      </c>
      <c r="AG14" s="188" t="s">
        <v>40</v>
      </c>
      <c r="AH14" s="188">
        <v>0</v>
      </c>
      <c r="AI14" s="188">
        <v>1</v>
      </c>
      <c r="AJ14" s="188">
        <v>0</v>
      </c>
      <c r="AK14" s="188" t="s">
        <v>40</v>
      </c>
      <c r="AL14" s="188">
        <v>0</v>
      </c>
      <c r="AM14" s="188">
        <v>1</v>
      </c>
      <c r="AN14" s="188" t="s">
        <v>98</v>
      </c>
      <c r="AO14" s="188">
        <v>0</v>
      </c>
      <c r="AP14" s="188">
        <v>5000</v>
      </c>
      <c r="AQ14" s="188" t="s">
        <v>106</v>
      </c>
      <c r="AR14" s="6" t="str">
        <f t="shared" si="2"/>
        <v>BXX</v>
      </c>
      <c r="AS14" s="188" t="s">
        <v>1</v>
      </c>
      <c r="AT14" s="6" t="str">
        <f>$A$3&amp;".AI_TY"</f>
        <v>BXX_WTN1_FI1.AI_TY</v>
      </c>
      <c r="AU14" s="188" t="s">
        <v>1</v>
      </c>
      <c r="AV14" s="6" t="str">
        <f t="shared" si="3"/>
        <v>Rain Gauge Current Year Total Rainfall</v>
      </c>
      <c r="AW14" s="188">
        <v>0</v>
      </c>
      <c r="AX14" s="188">
        <v>0</v>
      </c>
      <c r="AY14" s="188">
        <v>0</v>
      </c>
      <c r="AZ14" s="188">
        <v>0</v>
      </c>
      <c r="BA14" s="188">
        <v>0</v>
      </c>
      <c r="BB14" s="188">
        <v>0</v>
      </c>
      <c r="BC14" s="188">
        <v>0</v>
      </c>
      <c r="BD14" s="188">
        <v>0</v>
      </c>
    </row>
    <row r="15" spans="1:64" x14ac:dyDescent="0.25">
      <c r="A15" s="6" t="str">
        <f>$A$3&amp;"_"&amp;"AI_WT"</f>
        <v>BXX_WTN1_FI1_AI_WT</v>
      </c>
      <c r="B15" s="6" t="str">
        <f t="shared" si="1"/>
        <v>BXX_WTN1_FI1</v>
      </c>
      <c r="C15" s="6" t="str">
        <f>$C$3 &amp; " Current Week Total Rainfall"</f>
        <v>Rain Gauge Current Week Total Rainfall</v>
      </c>
      <c r="D15" s="4">
        <f t="shared" si="4"/>
        <v>38</v>
      </c>
      <c r="E15" s="188" t="s">
        <v>1</v>
      </c>
      <c r="F15" s="188" t="s">
        <v>1</v>
      </c>
      <c r="G15" s="188">
        <v>0</v>
      </c>
      <c r="H15" s="188" t="s">
        <v>0</v>
      </c>
      <c r="I15" s="188" t="s">
        <v>1</v>
      </c>
      <c r="J15" s="188">
        <v>0</v>
      </c>
      <c r="K15" s="188">
        <v>0</v>
      </c>
      <c r="L15" s="188" t="s">
        <v>378</v>
      </c>
      <c r="M15" s="188">
        <v>0</v>
      </c>
      <c r="N15" s="188">
        <v>0</v>
      </c>
      <c r="O15" s="188">
        <v>5000</v>
      </c>
      <c r="P15" s="188">
        <v>0</v>
      </c>
      <c r="Q15" s="188">
        <v>0</v>
      </c>
      <c r="R15" s="188" t="s">
        <v>40</v>
      </c>
      <c r="S15" s="188">
        <v>0</v>
      </c>
      <c r="T15" s="188">
        <v>1</v>
      </c>
      <c r="U15" s="188" t="s">
        <v>40</v>
      </c>
      <c r="V15" s="188">
        <v>0</v>
      </c>
      <c r="W15" s="188">
        <v>1</v>
      </c>
      <c r="X15" s="188" t="s">
        <v>40</v>
      </c>
      <c r="Y15" s="188">
        <v>0</v>
      </c>
      <c r="Z15" s="188">
        <v>1</v>
      </c>
      <c r="AA15" s="188" t="s">
        <v>40</v>
      </c>
      <c r="AB15" s="188">
        <v>0</v>
      </c>
      <c r="AC15" s="188">
        <v>1</v>
      </c>
      <c r="AD15" s="188" t="s">
        <v>40</v>
      </c>
      <c r="AE15" s="188">
        <v>0</v>
      </c>
      <c r="AF15" s="188">
        <v>1</v>
      </c>
      <c r="AG15" s="188" t="s">
        <v>40</v>
      </c>
      <c r="AH15" s="188">
        <v>0</v>
      </c>
      <c r="AI15" s="188">
        <v>1</v>
      </c>
      <c r="AJ15" s="188">
        <v>0</v>
      </c>
      <c r="AK15" s="188" t="s">
        <v>40</v>
      </c>
      <c r="AL15" s="188">
        <v>0</v>
      </c>
      <c r="AM15" s="188">
        <v>1</v>
      </c>
      <c r="AN15" s="188" t="s">
        <v>98</v>
      </c>
      <c r="AO15" s="188">
        <v>0</v>
      </c>
      <c r="AP15" s="188">
        <v>5000</v>
      </c>
      <c r="AQ15" s="188" t="s">
        <v>106</v>
      </c>
      <c r="AR15" s="6" t="str">
        <f t="shared" si="2"/>
        <v>BXX</v>
      </c>
      <c r="AS15" s="188" t="s">
        <v>1</v>
      </c>
      <c r="AT15" s="6" t="str">
        <f>$A$3&amp;".AI_WT"</f>
        <v>BXX_WTN1_FI1.AI_WT</v>
      </c>
      <c r="AU15" s="188" t="s">
        <v>1</v>
      </c>
      <c r="AV15" s="6" t="str">
        <f t="shared" si="3"/>
        <v>Rain Gauge Current Week Total Rainfall</v>
      </c>
      <c r="AW15" s="188">
        <v>0</v>
      </c>
      <c r="AX15" s="188">
        <v>0</v>
      </c>
      <c r="AY15" s="188">
        <v>0</v>
      </c>
      <c r="AZ15" s="188">
        <v>0</v>
      </c>
      <c r="BA15" s="188">
        <v>0</v>
      </c>
      <c r="BB15" s="188">
        <v>0</v>
      </c>
      <c r="BC15" s="188">
        <v>0</v>
      </c>
      <c r="BD15" s="188">
        <v>0</v>
      </c>
    </row>
    <row r="16" spans="1:64" x14ac:dyDescent="0.25">
      <c r="A16" s="6" t="str">
        <f>$A$3&amp;"_"&amp;"AI_YH"</f>
        <v>BXX_WTN1_FI1_AI_YH</v>
      </c>
      <c r="B16" s="6" t="str">
        <f t="shared" si="1"/>
        <v>BXX_WTN1_FI1</v>
      </c>
      <c r="C16" s="6" t="str">
        <f>$C$3 &amp; " Last Hour Total Rainfall"</f>
        <v>Rain Gauge Last Hour Total Rainfall</v>
      </c>
      <c r="D16" s="4">
        <f t="shared" si="4"/>
        <v>35</v>
      </c>
      <c r="E16" s="188" t="s">
        <v>0</v>
      </c>
      <c r="F16" s="188" t="s">
        <v>1</v>
      </c>
      <c r="G16" s="188">
        <v>0</v>
      </c>
      <c r="H16" s="188" t="s">
        <v>0</v>
      </c>
      <c r="I16" s="188" t="s">
        <v>1</v>
      </c>
      <c r="J16" s="188">
        <v>0</v>
      </c>
      <c r="K16" s="188">
        <v>0</v>
      </c>
      <c r="L16" s="188" t="s">
        <v>378</v>
      </c>
      <c r="M16" s="188">
        <v>0</v>
      </c>
      <c r="N16" s="188">
        <v>0</v>
      </c>
      <c r="O16" s="188">
        <v>5000</v>
      </c>
      <c r="P16" s="188">
        <v>0</v>
      </c>
      <c r="Q16" s="188">
        <v>0</v>
      </c>
      <c r="R16" s="188" t="s">
        <v>40</v>
      </c>
      <c r="S16" s="188">
        <v>0</v>
      </c>
      <c r="T16" s="188">
        <v>1</v>
      </c>
      <c r="U16" s="188" t="s">
        <v>40</v>
      </c>
      <c r="V16" s="188">
        <v>0</v>
      </c>
      <c r="W16" s="188">
        <v>1</v>
      </c>
      <c r="X16" s="188" t="s">
        <v>40</v>
      </c>
      <c r="Y16" s="188">
        <v>0</v>
      </c>
      <c r="Z16" s="188">
        <v>1</v>
      </c>
      <c r="AA16" s="188" t="s">
        <v>40</v>
      </c>
      <c r="AB16" s="188">
        <v>0</v>
      </c>
      <c r="AC16" s="188">
        <v>1</v>
      </c>
      <c r="AD16" s="188" t="s">
        <v>40</v>
      </c>
      <c r="AE16" s="188">
        <v>0</v>
      </c>
      <c r="AF16" s="188">
        <v>1</v>
      </c>
      <c r="AG16" s="188" t="s">
        <v>40</v>
      </c>
      <c r="AH16" s="188">
        <v>0</v>
      </c>
      <c r="AI16" s="188">
        <v>1</v>
      </c>
      <c r="AJ16" s="188">
        <v>0</v>
      </c>
      <c r="AK16" s="188" t="s">
        <v>40</v>
      </c>
      <c r="AL16" s="188">
        <v>0</v>
      </c>
      <c r="AM16" s="188">
        <v>1</v>
      </c>
      <c r="AN16" s="188" t="s">
        <v>98</v>
      </c>
      <c r="AO16" s="188">
        <v>0</v>
      </c>
      <c r="AP16" s="188">
        <v>5000</v>
      </c>
      <c r="AQ16" s="188" t="s">
        <v>106</v>
      </c>
      <c r="AR16" s="6" t="str">
        <f t="shared" si="2"/>
        <v>BXX</v>
      </c>
      <c r="AS16" s="188" t="s">
        <v>1</v>
      </c>
      <c r="AT16" s="6" t="str">
        <f>$A$3&amp;".AI_YH"</f>
        <v>BXX_WTN1_FI1.AI_YH</v>
      </c>
      <c r="AU16" s="188" t="s">
        <v>1</v>
      </c>
      <c r="AV16" s="6" t="str">
        <f t="shared" si="3"/>
        <v>Rain Gauge Last Hour Total Rainfall</v>
      </c>
      <c r="AW16" s="188">
        <v>0</v>
      </c>
      <c r="AX16" s="188">
        <v>0</v>
      </c>
      <c r="AY16" s="188">
        <v>0</v>
      </c>
      <c r="AZ16" s="188">
        <v>0</v>
      </c>
      <c r="BA16" s="188">
        <v>0</v>
      </c>
      <c r="BB16" s="188">
        <v>0</v>
      </c>
      <c r="BC16" s="188">
        <v>0</v>
      </c>
      <c r="BD16" s="188">
        <v>0</v>
      </c>
    </row>
    <row r="17" spans="1:56" x14ac:dyDescent="0.25">
      <c r="A17" s="6" t="str">
        <f>$A$3&amp;"_"&amp;"AI_MT"</f>
        <v>BXX_WTN1_FI1_AI_MT</v>
      </c>
      <c r="B17" s="6" t="str">
        <f t="shared" si="1"/>
        <v>BXX_WTN1_FI1</v>
      </c>
      <c r="C17" s="6" t="str">
        <f>$C$3 &amp; " Current Month Total Rainfall"</f>
        <v>Rain Gauge Current Month Total Rainfall</v>
      </c>
      <c r="D17" s="4">
        <f t="shared" si="4"/>
        <v>39</v>
      </c>
      <c r="E17" s="188" t="s">
        <v>1</v>
      </c>
      <c r="F17" s="188" t="s">
        <v>1</v>
      </c>
      <c r="G17" s="188">
        <v>0</v>
      </c>
      <c r="H17" s="188" t="s">
        <v>0</v>
      </c>
      <c r="I17" s="188" t="s">
        <v>1</v>
      </c>
      <c r="J17" s="188">
        <v>0</v>
      </c>
      <c r="K17" s="188">
        <v>0</v>
      </c>
      <c r="L17" s="188" t="s">
        <v>378</v>
      </c>
      <c r="M17" s="188">
        <v>0</v>
      </c>
      <c r="N17" s="188">
        <v>0</v>
      </c>
      <c r="O17" s="188">
        <v>5000</v>
      </c>
      <c r="P17" s="188">
        <v>0</v>
      </c>
      <c r="Q17" s="188">
        <v>0</v>
      </c>
      <c r="R17" s="188" t="s">
        <v>40</v>
      </c>
      <c r="S17" s="188">
        <v>0</v>
      </c>
      <c r="T17" s="188">
        <v>1</v>
      </c>
      <c r="U17" s="188" t="s">
        <v>40</v>
      </c>
      <c r="V17" s="188">
        <v>0</v>
      </c>
      <c r="W17" s="188">
        <v>1</v>
      </c>
      <c r="X17" s="188" t="s">
        <v>40</v>
      </c>
      <c r="Y17" s="188">
        <v>0</v>
      </c>
      <c r="Z17" s="188">
        <v>1</v>
      </c>
      <c r="AA17" s="188" t="s">
        <v>40</v>
      </c>
      <c r="AB17" s="188">
        <v>0</v>
      </c>
      <c r="AC17" s="188">
        <v>1</v>
      </c>
      <c r="AD17" s="188" t="s">
        <v>40</v>
      </c>
      <c r="AE17" s="188">
        <v>0</v>
      </c>
      <c r="AF17" s="188">
        <v>1</v>
      </c>
      <c r="AG17" s="188" t="s">
        <v>40</v>
      </c>
      <c r="AH17" s="188">
        <v>0</v>
      </c>
      <c r="AI17" s="188">
        <v>1</v>
      </c>
      <c r="AJ17" s="188">
        <v>0</v>
      </c>
      <c r="AK17" s="188" t="s">
        <v>40</v>
      </c>
      <c r="AL17" s="188">
        <v>0</v>
      </c>
      <c r="AM17" s="188">
        <v>1</v>
      </c>
      <c r="AN17" s="188" t="s">
        <v>98</v>
      </c>
      <c r="AO17" s="188">
        <v>0</v>
      </c>
      <c r="AP17" s="188">
        <v>5000</v>
      </c>
      <c r="AQ17" s="188" t="s">
        <v>106</v>
      </c>
      <c r="AR17" s="6" t="str">
        <f t="shared" si="2"/>
        <v>BXX</v>
      </c>
      <c r="AS17" s="188" t="s">
        <v>1</v>
      </c>
      <c r="AT17" s="6" t="str">
        <f>$A$3&amp;".AI_MT"</f>
        <v>BXX_WTN1_FI1.AI_MT</v>
      </c>
      <c r="AU17" s="188" t="s">
        <v>1</v>
      </c>
      <c r="AV17" s="6" t="str">
        <f t="shared" si="3"/>
        <v>Rain Gauge Current Month Total Rainfall</v>
      </c>
      <c r="AW17" s="188">
        <v>0</v>
      </c>
      <c r="AX17" s="188">
        <v>0</v>
      </c>
      <c r="AY17" s="188">
        <v>0</v>
      </c>
      <c r="AZ17" s="188">
        <v>0</v>
      </c>
      <c r="BA17" s="188">
        <v>0</v>
      </c>
      <c r="BB17" s="188">
        <v>0</v>
      </c>
      <c r="BC17" s="188">
        <v>0</v>
      </c>
      <c r="BD17" s="188">
        <v>0</v>
      </c>
    </row>
    <row r="18" spans="1:56" x14ac:dyDescent="0.25">
      <c r="A18" s="6" t="str">
        <f>$A$3&amp;"_"&amp;"AI_YL"</f>
        <v>BXX_WTN1_FI1_AI_YL</v>
      </c>
      <c r="B18" s="6" t="str">
        <f t="shared" si="1"/>
        <v>BXX_WTN1_FI1</v>
      </c>
      <c r="C18" s="6" t="str">
        <f>$C$3 &amp; " Last Year Total Rainfall"</f>
        <v>Rain Gauge Last Year Total Rainfall</v>
      </c>
      <c r="D18" s="4">
        <f t="shared" si="4"/>
        <v>35</v>
      </c>
      <c r="E18" s="188" t="s">
        <v>1</v>
      </c>
      <c r="F18" s="188" t="s">
        <v>1</v>
      </c>
      <c r="G18" s="188">
        <v>0</v>
      </c>
      <c r="H18" s="188" t="s">
        <v>0</v>
      </c>
      <c r="I18" s="188" t="s">
        <v>1</v>
      </c>
      <c r="J18" s="188">
        <v>0</v>
      </c>
      <c r="K18" s="188">
        <v>0</v>
      </c>
      <c r="L18" s="188" t="s">
        <v>378</v>
      </c>
      <c r="M18" s="188">
        <v>0</v>
      </c>
      <c r="N18" s="188">
        <v>0</v>
      </c>
      <c r="O18" s="188">
        <v>5000</v>
      </c>
      <c r="P18" s="188">
        <v>0</v>
      </c>
      <c r="Q18" s="188">
        <v>0</v>
      </c>
      <c r="R18" s="188" t="s">
        <v>40</v>
      </c>
      <c r="S18" s="188">
        <v>0</v>
      </c>
      <c r="T18" s="188">
        <v>1</v>
      </c>
      <c r="U18" s="188" t="s">
        <v>40</v>
      </c>
      <c r="V18" s="188">
        <v>0</v>
      </c>
      <c r="W18" s="188">
        <v>1</v>
      </c>
      <c r="X18" s="188" t="s">
        <v>40</v>
      </c>
      <c r="Y18" s="188">
        <v>0</v>
      </c>
      <c r="Z18" s="188">
        <v>1</v>
      </c>
      <c r="AA18" s="188" t="s">
        <v>40</v>
      </c>
      <c r="AB18" s="188">
        <v>0</v>
      </c>
      <c r="AC18" s="188">
        <v>1</v>
      </c>
      <c r="AD18" s="188" t="s">
        <v>40</v>
      </c>
      <c r="AE18" s="188">
        <v>0</v>
      </c>
      <c r="AF18" s="188">
        <v>1</v>
      </c>
      <c r="AG18" s="188" t="s">
        <v>40</v>
      </c>
      <c r="AH18" s="188">
        <v>0</v>
      </c>
      <c r="AI18" s="188">
        <v>1</v>
      </c>
      <c r="AJ18" s="188">
        <v>0</v>
      </c>
      <c r="AK18" s="188" t="s">
        <v>40</v>
      </c>
      <c r="AL18" s="188">
        <v>0</v>
      </c>
      <c r="AM18" s="188">
        <v>1</v>
      </c>
      <c r="AN18" s="188" t="s">
        <v>98</v>
      </c>
      <c r="AO18" s="188">
        <v>0</v>
      </c>
      <c r="AP18" s="188">
        <v>5000</v>
      </c>
      <c r="AQ18" s="188" t="s">
        <v>106</v>
      </c>
      <c r="AR18" s="6" t="str">
        <f t="shared" si="2"/>
        <v>BXX</v>
      </c>
      <c r="AS18" s="188" t="s">
        <v>1</v>
      </c>
      <c r="AT18" s="6" t="str">
        <f>$A$3&amp;".AI_YL"</f>
        <v>BXX_WTN1_FI1.AI_YL</v>
      </c>
      <c r="AU18" s="188" t="s">
        <v>1</v>
      </c>
      <c r="AV18" s="6" t="str">
        <f t="shared" si="3"/>
        <v>Rain Gauge Last Year Total Rainfall</v>
      </c>
      <c r="AW18" s="188">
        <v>0</v>
      </c>
      <c r="AX18" s="188">
        <v>0</v>
      </c>
      <c r="AY18" s="188">
        <v>0</v>
      </c>
      <c r="AZ18" s="188">
        <v>0</v>
      </c>
      <c r="BA18" s="188">
        <v>0</v>
      </c>
      <c r="BB18" s="188">
        <v>0</v>
      </c>
      <c r="BC18" s="188">
        <v>0</v>
      </c>
      <c r="BD18" s="188">
        <v>0</v>
      </c>
    </row>
    <row r="19" spans="1:56" x14ac:dyDescent="0.25">
      <c r="A19" s="6" t="str">
        <f>$A$3&amp;"_"&amp;"AI_YW"</f>
        <v>BXX_WTN1_FI1_AI_YW</v>
      </c>
      <c r="B19" s="6" t="str">
        <f t="shared" si="1"/>
        <v>BXX_WTN1_FI1</v>
      </c>
      <c r="C19" s="6" t="str">
        <f>$C$3 &amp; " Last Week Total Rainfall"</f>
        <v>Rain Gauge Last Week Total Rainfall</v>
      </c>
      <c r="D19" s="4">
        <f t="shared" si="4"/>
        <v>35</v>
      </c>
      <c r="E19" s="188" t="s">
        <v>1</v>
      </c>
      <c r="F19" s="188" t="s">
        <v>1</v>
      </c>
      <c r="G19" s="188">
        <v>0</v>
      </c>
      <c r="H19" s="188" t="s">
        <v>0</v>
      </c>
      <c r="I19" s="188" t="s">
        <v>1</v>
      </c>
      <c r="J19" s="188">
        <v>0</v>
      </c>
      <c r="K19" s="188">
        <v>0</v>
      </c>
      <c r="L19" s="188" t="s">
        <v>378</v>
      </c>
      <c r="M19" s="188">
        <v>0</v>
      </c>
      <c r="N19" s="188">
        <v>0</v>
      </c>
      <c r="O19" s="188">
        <v>5000</v>
      </c>
      <c r="P19" s="188">
        <v>0</v>
      </c>
      <c r="Q19" s="188">
        <v>0</v>
      </c>
      <c r="R19" s="188" t="s">
        <v>40</v>
      </c>
      <c r="S19" s="188">
        <v>0</v>
      </c>
      <c r="T19" s="188">
        <v>1</v>
      </c>
      <c r="U19" s="188" t="s">
        <v>40</v>
      </c>
      <c r="V19" s="188">
        <v>0</v>
      </c>
      <c r="W19" s="188">
        <v>1</v>
      </c>
      <c r="X19" s="188" t="s">
        <v>40</v>
      </c>
      <c r="Y19" s="188">
        <v>0</v>
      </c>
      <c r="Z19" s="188">
        <v>1</v>
      </c>
      <c r="AA19" s="188" t="s">
        <v>40</v>
      </c>
      <c r="AB19" s="188">
        <v>0</v>
      </c>
      <c r="AC19" s="188">
        <v>1</v>
      </c>
      <c r="AD19" s="188" t="s">
        <v>40</v>
      </c>
      <c r="AE19" s="188">
        <v>0</v>
      </c>
      <c r="AF19" s="188">
        <v>1</v>
      </c>
      <c r="AG19" s="188" t="s">
        <v>40</v>
      </c>
      <c r="AH19" s="188">
        <v>0</v>
      </c>
      <c r="AI19" s="188">
        <v>1</v>
      </c>
      <c r="AJ19" s="188">
        <v>0</v>
      </c>
      <c r="AK19" s="188" t="s">
        <v>40</v>
      </c>
      <c r="AL19" s="188">
        <v>0</v>
      </c>
      <c r="AM19" s="188">
        <v>1</v>
      </c>
      <c r="AN19" s="188" t="s">
        <v>98</v>
      </c>
      <c r="AO19" s="188">
        <v>0</v>
      </c>
      <c r="AP19" s="188">
        <v>5000</v>
      </c>
      <c r="AQ19" s="188" t="s">
        <v>106</v>
      </c>
      <c r="AR19" s="6" t="str">
        <f t="shared" si="2"/>
        <v>BXX</v>
      </c>
      <c r="AS19" s="188" t="s">
        <v>1</v>
      </c>
      <c r="AT19" s="6" t="str">
        <f>$A$3&amp;".AI_YW"</f>
        <v>BXX_WTN1_FI1.AI_YW</v>
      </c>
      <c r="AU19" s="188" t="s">
        <v>1</v>
      </c>
      <c r="AV19" s="6" t="str">
        <f t="shared" si="3"/>
        <v>Rain Gauge Last Week Total Rainfall</v>
      </c>
      <c r="AW19" s="188">
        <v>0</v>
      </c>
      <c r="AX19" s="188">
        <v>0</v>
      </c>
      <c r="AY19" s="188">
        <v>0</v>
      </c>
      <c r="AZ19" s="188">
        <v>0</v>
      </c>
      <c r="BA19" s="188">
        <v>0</v>
      </c>
      <c r="BB19" s="188">
        <v>0</v>
      </c>
      <c r="BC19" s="188">
        <v>0</v>
      </c>
      <c r="BD19" s="188">
        <v>0</v>
      </c>
    </row>
    <row r="20" spans="1:56" ht="15" customHeight="1" x14ac:dyDescent="0.25">
      <c r="A20" s="189" t="s">
        <v>176</v>
      </c>
      <c r="B20" s="189" t="s">
        <v>4</v>
      </c>
      <c r="C20" s="189" t="s">
        <v>5</v>
      </c>
      <c r="D20" s="4">
        <f t="shared" si="4"/>
        <v>7</v>
      </c>
      <c r="E20" s="190" t="s">
        <v>6</v>
      </c>
      <c r="F20" s="190" t="s">
        <v>7</v>
      </c>
      <c r="G20" s="190" t="s">
        <v>31</v>
      </c>
      <c r="H20" s="190" t="s">
        <v>39</v>
      </c>
    </row>
    <row r="21" spans="1:56" x14ac:dyDescent="0.25">
      <c r="A21" s="197" t="s">
        <v>739</v>
      </c>
      <c r="B21" s="191" t="s">
        <v>144</v>
      </c>
      <c r="C21" s="191" t="s">
        <v>380</v>
      </c>
      <c r="D21" s="4">
        <f t="shared" si="4"/>
        <v>39</v>
      </c>
      <c r="E21" s="192" t="s">
        <v>1</v>
      </c>
      <c r="F21" s="192">
        <v>0</v>
      </c>
      <c r="G21" s="192" t="s">
        <v>1</v>
      </c>
    </row>
    <row r="22" spans="1:56" x14ac:dyDescent="0.25">
      <c r="A22" s="193" t="s">
        <v>143</v>
      </c>
      <c r="B22" s="193" t="s">
        <v>4</v>
      </c>
      <c r="C22" s="193" t="s">
        <v>5</v>
      </c>
      <c r="D22" s="4">
        <f t="shared" si="4"/>
        <v>7</v>
      </c>
      <c r="E22" s="194" t="s">
        <v>6</v>
      </c>
      <c r="F22" s="194" t="s">
        <v>7</v>
      </c>
      <c r="G22" s="194" t="s">
        <v>31</v>
      </c>
      <c r="H22" s="194" t="s">
        <v>39</v>
      </c>
    </row>
    <row r="23" spans="1:56" x14ac:dyDescent="0.25">
      <c r="A23" s="197" t="s">
        <v>726</v>
      </c>
      <c r="B23" s="195" t="s">
        <v>144</v>
      </c>
      <c r="C23" s="195" t="s">
        <v>381</v>
      </c>
      <c r="D23" s="4">
        <f t="shared" si="4"/>
        <v>42</v>
      </c>
      <c r="E23" s="197" t="s">
        <v>1</v>
      </c>
      <c r="F23" s="197">
        <v>0</v>
      </c>
      <c r="G23" s="197" t="s">
        <v>1</v>
      </c>
    </row>
    <row r="24" spans="1:56" x14ac:dyDescent="0.25">
      <c r="A24" s="197" t="s">
        <v>727</v>
      </c>
      <c r="B24" s="195" t="s">
        <v>144</v>
      </c>
      <c r="C24" s="195" t="s">
        <v>382</v>
      </c>
      <c r="D24" s="4">
        <f t="shared" si="4"/>
        <v>38</v>
      </c>
      <c r="E24" s="197" t="s">
        <v>1</v>
      </c>
      <c r="F24" s="197">
        <v>0</v>
      </c>
      <c r="G24" s="197" t="s">
        <v>1</v>
      </c>
    </row>
    <row r="25" spans="1:56" x14ac:dyDescent="0.25">
      <c r="A25" s="197" t="s">
        <v>728</v>
      </c>
      <c r="B25" s="195" t="s">
        <v>144</v>
      </c>
      <c r="C25" s="195" t="s">
        <v>383</v>
      </c>
      <c r="D25" s="4">
        <f t="shared" si="4"/>
        <v>40</v>
      </c>
      <c r="E25" s="197" t="s">
        <v>1</v>
      </c>
      <c r="F25" s="197">
        <v>0</v>
      </c>
      <c r="G25" s="197" t="s">
        <v>1</v>
      </c>
    </row>
    <row r="26" spans="1:56" x14ac:dyDescent="0.25">
      <c r="A26" s="197" t="s">
        <v>729</v>
      </c>
      <c r="B26" s="195" t="s">
        <v>144</v>
      </c>
      <c r="C26" s="195" t="s">
        <v>384</v>
      </c>
      <c r="D26" s="4">
        <f t="shared" si="4"/>
        <v>39</v>
      </c>
      <c r="E26" s="197" t="s">
        <v>1</v>
      </c>
      <c r="F26" s="197">
        <v>0</v>
      </c>
      <c r="G26" s="197" t="s">
        <v>1</v>
      </c>
    </row>
    <row r="27" spans="1:56" x14ac:dyDescent="0.25">
      <c r="A27" s="197" t="s">
        <v>730</v>
      </c>
      <c r="B27" s="195" t="s">
        <v>144</v>
      </c>
      <c r="C27" s="195" t="s">
        <v>385</v>
      </c>
      <c r="D27" s="4">
        <f t="shared" si="4"/>
        <v>37</v>
      </c>
      <c r="E27" s="197" t="s">
        <v>1</v>
      </c>
      <c r="F27" s="197">
        <v>0</v>
      </c>
      <c r="G27" s="197" t="s">
        <v>1</v>
      </c>
    </row>
    <row r="28" spans="1:56" x14ac:dyDescent="0.25">
      <c r="A28" s="197" t="s">
        <v>731</v>
      </c>
      <c r="B28" s="195" t="s">
        <v>144</v>
      </c>
      <c r="C28" s="195" t="s">
        <v>386</v>
      </c>
      <c r="D28" s="4">
        <f t="shared" si="4"/>
        <v>38</v>
      </c>
      <c r="E28" s="197" t="s">
        <v>1</v>
      </c>
      <c r="F28" s="197">
        <v>0</v>
      </c>
      <c r="G28" s="197" t="s">
        <v>1</v>
      </c>
    </row>
    <row r="29" spans="1:56" x14ac:dyDescent="0.25">
      <c r="A29" s="197" t="s">
        <v>732</v>
      </c>
      <c r="B29" s="195" t="s">
        <v>144</v>
      </c>
      <c r="C29" s="195" t="s">
        <v>387</v>
      </c>
      <c r="D29" s="4">
        <f t="shared" si="4"/>
        <v>38</v>
      </c>
      <c r="E29" s="197" t="s">
        <v>1</v>
      </c>
      <c r="F29" s="197">
        <v>0</v>
      </c>
      <c r="G29" s="197" t="s">
        <v>1</v>
      </c>
    </row>
    <row r="30" spans="1:56" x14ac:dyDescent="0.25">
      <c r="A30" s="197" t="s">
        <v>733</v>
      </c>
      <c r="B30" s="195" t="s">
        <v>144</v>
      </c>
      <c r="C30" s="195" t="s">
        <v>388</v>
      </c>
      <c r="D30" s="4">
        <f t="shared" si="4"/>
        <v>35</v>
      </c>
      <c r="E30" s="197" t="s">
        <v>1</v>
      </c>
      <c r="F30" s="197">
        <v>0</v>
      </c>
      <c r="G30" s="197" t="s">
        <v>1</v>
      </c>
    </row>
    <row r="31" spans="1:56" x14ac:dyDescent="0.25">
      <c r="A31" s="197" t="s">
        <v>734</v>
      </c>
      <c r="B31" s="195" t="s">
        <v>144</v>
      </c>
      <c r="C31" s="195" t="s">
        <v>389</v>
      </c>
      <c r="D31" s="4">
        <f t="shared" si="4"/>
        <v>35</v>
      </c>
      <c r="E31" s="197" t="s">
        <v>1</v>
      </c>
      <c r="F31" s="197">
        <v>0</v>
      </c>
      <c r="G31" s="197" t="s">
        <v>1</v>
      </c>
    </row>
    <row r="32" spans="1:56" x14ac:dyDescent="0.25">
      <c r="A32" s="197" t="s">
        <v>735</v>
      </c>
      <c r="B32" s="195" t="s">
        <v>144</v>
      </c>
      <c r="C32" s="195" t="s">
        <v>390</v>
      </c>
      <c r="D32" s="4">
        <f t="shared" si="4"/>
        <v>36</v>
      </c>
      <c r="E32" s="197" t="s">
        <v>1</v>
      </c>
      <c r="F32" s="197">
        <v>0</v>
      </c>
      <c r="G32" s="197" t="s">
        <v>1</v>
      </c>
    </row>
    <row r="33" spans="1:7" x14ac:dyDescent="0.25">
      <c r="A33" s="197" t="s">
        <v>736</v>
      </c>
      <c r="B33" s="195" t="s">
        <v>144</v>
      </c>
      <c r="C33" s="195" t="s">
        <v>391</v>
      </c>
      <c r="D33" s="4">
        <f t="shared" si="4"/>
        <v>35</v>
      </c>
      <c r="E33" s="197" t="s">
        <v>1</v>
      </c>
      <c r="F33" s="197">
        <v>0</v>
      </c>
      <c r="G33" s="197" t="s">
        <v>1</v>
      </c>
    </row>
    <row r="34" spans="1:7" x14ac:dyDescent="0.25">
      <c r="A34" s="197" t="s">
        <v>737</v>
      </c>
      <c r="B34" s="195" t="s">
        <v>144</v>
      </c>
      <c r="C34" s="195" t="s">
        <v>392</v>
      </c>
      <c r="E34" s="197" t="s">
        <v>1</v>
      </c>
      <c r="F34" s="197">
        <v>0</v>
      </c>
      <c r="G34" s="197" t="s">
        <v>1</v>
      </c>
    </row>
    <row r="35" spans="1:7" x14ac:dyDescent="0.25">
      <c r="A35" s="197" t="s">
        <v>738</v>
      </c>
      <c r="B35" s="195" t="s">
        <v>144</v>
      </c>
      <c r="C35" s="195" t="s">
        <v>393</v>
      </c>
      <c r="D35" s="4">
        <f>LEN(C35)</f>
        <v>40</v>
      </c>
      <c r="E35" s="197" t="s">
        <v>1</v>
      </c>
      <c r="F35" s="197">
        <v>0</v>
      </c>
      <c r="G35" s="197" t="s">
        <v>1</v>
      </c>
    </row>
    <row r="36" spans="1:7" x14ac:dyDescent="0.25">
      <c r="D36" s="4">
        <f t="shared" ref="D36:D78" si="5">LEN(C36)</f>
        <v>0</v>
      </c>
    </row>
    <row r="37" spans="1:7" x14ac:dyDescent="0.25">
      <c r="D37" s="4">
        <f t="shared" si="5"/>
        <v>0</v>
      </c>
    </row>
    <row r="38" spans="1:7" x14ac:dyDescent="0.25">
      <c r="D38" s="4">
        <f t="shared" si="5"/>
        <v>0</v>
      </c>
    </row>
    <row r="39" spans="1:7" x14ac:dyDescent="0.25">
      <c r="D39" s="4">
        <f t="shared" si="5"/>
        <v>0</v>
      </c>
    </row>
    <row r="40" spans="1:7" x14ac:dyDescent="0.25">
      <c r="D40" s="4">
        <f t="shared" si="5"/>
        <v>0</v>
      </c>
    </row>
    <row r="41" spans="1:7" x14ac:dyDescent="0.25">
      <c r="D41" s="4">
        <f t="shared" si="5"/>
        <v>0</v>
      </c>
    </row>
    <row r="42" spans="1:7" x14ac:dyDescent="0.25">
      <c r="D42" s="4">
        <f t="shared" si="5"/>
        <v>0</v>
      </c>
    </row>
    <row r="43" spans="1:7" x14ac:dyDescent="0.25">
      <c r="D43" s="4">
        <f t="shared" si="5"/>
        <v>0</v>
      </c>
    </row>
    <row r="44" spans="1:7" x14ac:dyDescent="0.25">
      <c r="D44" s="4">
        <f t="shared" si="5"/>
        <v>0</v>
      </c>
    </row>
    <row r="45" spans="1:7" x14ac:dyDescent="0.25">
      <c r="D45" s="4">
        <f t="shared" si="5"/>
        <v>0</v>
      </c>
    </row>
    <row r="46" spans="1:7" x14ac:dyDescent="0.25">
      <c r="D46" s="4">
        <f t="shared" si="5"/>
        <v>0</v>
      </c>
    </row>
    <row r="47" spans="1:7" x14ac:dyDescent="0.25">
      <c r="D47" s="4">
        <f t="shared" si="5"/>
        <v>0</v>
      </c>
    </row>
    <row r="48" spans="1:7" x14ac:dyDescent="0.25">
      <c r="D48" s="4">
        <f t="shared" si="5"/>
        <v>0</v>
      </c>
    </row>
    <row r="49" spans="4:4" x14ac:dyDescent="0.25">
      <c r="D49" s="4">
        <f t="shared" si="5"/>
        <v>0</v>
      </c>
    </row>
    <row r="50" spans="4:4" x14ac:dyDescent="0.25">
      <c r="D50" s="4">
        <f t="shared" si="5"/>
        <v>0</v>
      </c>
    </row>
    <row r="51" spans="4:4" x14ac:dyDescent="0.25">
      <c r="D51" s="4">
        <f t="shared" si="5"/>
        <v>0</v>
      </c>
    </row>
    <row r="52" spans="4:4" x14ac:dyDescent="0.25">
      <c r="D52" s="4">
        <f t="shared" si="5"/>
        <v>0</v>
      </c>
    </row>
    <row r="53" spans="4:4" x14ac:dyDescent="0.25">
      <c r="D53" s="4">
        <f t="shared" si="5"/>
        <v>0</v>
      </c>
    </row>
    <row r="54" spans="4:4" x14ac:dyDescent="0.25">
      <c r="D54" s="4">
        <f t="shared" si="5"/>
        <v>0</v>
      </c>
    </row>
    <row r="55" spans="4:4" x14ac:dyDescent="0.25">
      <c r="D55" s="4">
        <f t="shared" si="5"/>
        <v>0</v>
      </c>
    </row>
    <row r="56" spans="4:4" x14ac:dyDescent="0.25">
      <c r="D56" s="4">
        <f t="shared" si="5"/>
        <v>0</v>
      </c>
    </row>
    <row r="57" spans="4:4" x14ac:dyDescent="0.25">
      <c r="D57" s="4">
        <f t="shared" si="5"/>
        <v>0</v>
      </c>
    </row>
    <row r="58" spans="4:4" x14ac:dyDescent="0.25">
      <c r="D58" s="4">
        <f t="shared" si="5"/>
        <v>0</v>
      </c>
    </row>
    <row r="59" spans="4:4" x14ac:dyDescent="0.25">
      <c r="D59" s="4">
        <f t="shared" si="5"/>
        <v>0</v>
      </c>
    </row>
    <row r="60" spans="4:4" x14ac:dyDescent="0.25">
      <c r="D60" s="4">
        <f t="shared" si="5"/>
        <v>0</v>
      </c>
    </row>
    <row r="61" spans="4:4" x14ac:dyDescent="0.25">
      <c r="D61" s="4">
        <f t="shared" si="5"/>
        <v>0</v>
      </c>
    </row>
    <row r="62" spans="4:4" x14ac:dyDescent="0.25">
      <c r="D62" s="4">
        <f t="shared" si="5"/>
        <v>0</v>
      </c>
    </row>
    <row r="63" spans="4:4" x14ac:dyDescent="0.25">
      <c r="D63" s="4">
        <f t="shared" si="5"/>
        <v>0</v>
      </c>
    </row>
    <row r="64" spans="4:4" x14ac:dyDescent="0.25">
      <c r="D64" s="4">
        <f t="shared" si="5"/>
        <v>0</v>
      </c>
    </row>
    <row r="65" spans="4:4" x14ac:dyDescent="0.25">
      <c r="D65" s="4">
        <f t="shared" si="5"/>
        <v>0</v>
      </c>
    </row>
    <row r="66" spans="4:4" x14ac:dyDescent="0.25">
      <c r="D66" s="4">
        <f t="shared" si="5"/>
        <v>0</v>
      </c>
    </row>
    <row r="67" spans="4:4" x14ac:dyDescent="0.25">
      <c r="D67" s="4">
        <f t="shared" si="5"/>
        <v>0</v>
      </c>
    </row>
    <row r="68" spans="4:4" x14ac:dyDescent="0.25">
      <c r="D68" s="4">
        <f t="shared" si="5"/>
        <v>0</v>
      </c>
    </row>
    <row r="69" spans="4:4" x14ac:dyDescent="0.25">
      <c r="D69" s="4">
        <f t="shared" si="5"/>
        <v>0</v>
      </c>
    </row>
    <row r="70" spans="4:4" x14ac:dyDescent="0.25">
      <c r="D70" s="4">
        <f t="shared" si="5"/>
        <v>0</v>
      </c>
    </row>
    <row r="71" spans="4:4" x14ac:dyDescent="0.25">
      <c r="D71" s="4">
        <f t="shared" si="5"/>
        <v>0</v>
      </c>
    </row>
    <row r="72" spans="4:4" x14ac:dyDescent="0.25">
      <c r="D72" s="4">
        <f t="shared" si="5"/>
        <v>0</v>
      </c>
    </row>
    <row r="73" spans="4:4" x14ac:dyDescent="0.25">
      <c r="D73" s="4">
        <f t="shared" si="5"/>
        <v>0</v>
      </c>
    </row>
    <row r="74" spans="4:4" x14ac:dyDescent="0.25">
      <c r="D74" s="4">
        <f t="shared" si="5"/>
        <v>0</v>
      </c>
    </row>
    <row r="75" spans="4:4" x14ac:dyDescent="0.25">
      <c r="D75" s="4">
        <f t="shared" si="5"/>
        <v>0</v>
      </c>
    </row>
    <row r="76" spans="4:4" x14ac:dyDescent="0.25">
      <c r="D76" s="4">
        <f t="shared" si="5"/>
        <v>0</v>
      </c>
    </row>
    <row r="77" spans="4:4" x14ac:dyDescent="0.25">
      <c r="D77" s="4">
        <f t="shared" si="5"/>
        <v>0</v>
      </c>
    </row>
    <row r="78" spans="4:4" x14ac:dyDescent="0.25">
      <c r="D78" s="4">
        <f t="shared" si="5"/>
        <v>0</v>
      </c>
    </row>
  </sheetData>
  <conditionalFormatting sqref="D30:D33 D26 D20 D8:D10 D22 D35:D78 D17:D18 D12:D15">
    <cfRule type="cellIs" dxfId="28" priority="15" operator="greaterThan">
      <formula>49</formula>
    </cfRule>
  </conditionalFormatting>
  <conditionalFormatting sqref="D29">
    <cfRule type="cellIs" dxfId="27" priority="11" operator="greaterThan">
      <formula>49</formula>
    </cfRule>
  </conditionalFormatting>
  <conditionalFormatting sqref="D2:D7">
    <cfRule type="cellIs" dxfId="26" priority="14" operator="greaterThan">
      <formula>49</formula>
    </cfRule>
  </conditionalFormatting>
  <conditionalFormatting sqref="D27">
    <cfRule type="cellIs" dxfId="25" priority="13" operator="greaterThan">
      <formula>49</formula>
    </cfRule>
  </conditionalFormatting>
  <conditionalFormatting sqref="D28">
    <cfRule type="cellIs" dxfId="24" priority="12" operator="greaterThan">
      <formula>49</formula>
    </cfRule>
  </conditionalFormatting>
  <conditionalFormatting sqref="D11">
    <cfRule type="cellIs" dxfId="23" priority="10" operator="greaterThan">
      <formula>49</formula>
    </cfRule>
  </conditionalFormatting>
  <conditionalFormatting sqref="D19">
    <cfRule type="cellIs" dxfId="22" priority="9" operator="greaterThan">
      <formula>49</formula>
    </cfRule>
  </conditionalFormatting>
  <conditionalFormatting sqref="D23">
    <cfRule type="cellIs" dxfId="21" priority="8" operator="greaterThan">
      <formula>49</formula>
    </cfRule>
  </conditionalFormatting>
  <conditionalFormatting sqref="D24">
    <cfRule type="cellIs" dxfId="20" priority="7" operator="greaterThan">
      <formula>49</formula>
    </cfRule>
  </conditionalFormatting>
  <conditionalFormatting sqref="D25">
    <cfRule type="cellIs" dxfId="19" priority="6" operator="greaterThan">
      <formula>49</formula>
    </cfRule>
  </conditionalFormatting>
  <conditionalFormatting sqref="D16">
    <cfRule type="cellIs" dxfId="18" priority="4" operator="greaterThan">
      <formula>49</formula>
    </cfRule>
  </conditionalFormatting>
  <conditionalFormatting sqref="D21">
    <cfRule type="cellIs" dxfId="17" priority="2" operator="greaterThan">
      <formula>49</formula>
    </cfRule>
  </conditionalFormatting>
  <pageMargins left="0.7" right="0.7" top="0.97222222222222221" bottom="0.75" header="0.3" footer="0.3"/>
  <pageSetup orientation="portrait" r:id="rId1"/>
  <headerFooter>
    <oddHeader>&amp;L&amp;"Times New Roman,Regular"Regional Municipality of Halton  
SCADA Standards Manual Section 6 HMI Programming
Appendix 6A HMI Tag Template&amp;R&amp;"Times New Roman,Regular"SCADA STANDARDS 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09"/>
  <sheetViews>
    <sheetView zoomScaleNormal="100" workbookViewId="0">
      <selection activeCell="A21" sqref="A21"/>
    </sheetView>
  </sheetViews>
  <sheetFormatPr defaultRowHeight="15" x14ac:dyDescent="0.25"/>
  <cols>
    <col min="1" max="1" width="22" bestFit="1" customWidth="1"/>
    <col min="2" max="2" width="13.140625" bestFit="1" customWidth="1"/>
    <col min="3" max="3" width="40.85546875" bestFit="1" customWidth="1"/>
    <col min="4" max="4" width="17.42578125" style="4" bestFit="1" customWidth="1"/>
    <col min="5" max="5" width="11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18.7109375" bestFit="1" customWidth="1"/>
    <col min="11" max="11" width="34.28515625" bestFit="1" customWidth="1"/>
    <col min="12" max="12" width="18.140625" bestFit="1" customWidth="1"/>
    <col min="13" max="13" width="14.85546875" bestFit="1" customWidth="1"/>
    <col min="14" max="14" width="31.85546875" bestFit="1" customWidth="1"/>
    <col min="15" max="15" width="16.7109375" bestFit="1" customWidth="1"/>
    <col min="16" max="16" width="15.42578125" bestFit="1" customWidth="1"/>
    <col min="17" max="17" width="19.85546875" bestFit="1" customWidth="1"/>
    <col min="18" max="18" width="16.140625" bestFit="1" customWidth="1"/>
    <col min="19" max="19" width="37.28515625" bestFit="1" customWidth="1"/>
    <col min="20" max="20" width="19.140625" bestFit="1" customWidth="1"/>
    <col min="21" max="21" width="15.855468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7.7109375" bestFit="1" customWidth="1"/>
    <col min="42" max="42" width="8.140625" bestFit="1" customWidth="1"/>
    <col min="43" max="43" width="10.140625" bestFit="1" customWidth="1"/>
    <col min="44" max="44" width="11.28515625" bestFit="1" customWidth="1"/>
    <col min="45" max="45" width="15.42578125" bestFit="1" customWidth="1"/>
    <col min="46" max="46" width="29.7109375" bestFit="1" customWidth="1"/>
    <col min="47" max="47" width="8.7109375" bestFit="1" customWidth="1"/>
    <col min="48" max="48" width="44.42578125" bestFit="1" customWidth="1"/>
    <col min="49" max="49" width="14" bestFit="1" customWidth="1"/>
    <col min="50" max="50" width="15.7109375" bestFit="1" customWidth="1"/>
    <col min="51" max="51" width="13.7109375" bestFit="1" customWidth="1"/>
    <col min="52" max="52" width="13.42578125" bestFit="1" customWidth="1"/>
    <col min="53" max="53" width="15.140625" bestFit="1" customWidth="1"/>
    <col min="54" max="55" width="18.140625" bestFit="1" customWidth="1"/>
    <col min="56" max="56" width="14.855468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140625" bestFit="1" customWidth="1"/>
    <col min="61" max="62" width="19.140625" bestFit="1" customWidth="1"/>
    <col min="63" max="63" width="15.85546875" bestFit="1" customWidth="1"/>
    <col min="64" max="64" width="13.28515625" bestFit="1" customWidth="1"/>
  </cols>
  <sheetData>
    <row r="1" spans="1:22" s="219" customFormat="1" x14ac:dyDescent="0.25">
      <c r="A1" s="219" t="s">
        <v>130</v>
      </c>
      <c r="D1" s="5" t="s">
        <v>119</v>
      </c>
    </row>
    <row r="2" spans="1:22" s="219" customFormat="1" x14ac:dyDescent="0.25">
      <c r="A2" s="219" t="s">
        <v>3</v>
      </c>
      <c r="B2" s="219" t="s">
        <v>4</v>
      </c>
      <c r="C2" s="219" t="s">
        <v>5</v>
      </c>
      <c r="D2" s="4">
        <f t="shared" ref="D2:D4" si="0">LEN(C2)</f>
        <v>7</v>
      </c>
      <c r="E2" s="219" t="s">
        <v>6</v>
      </c>
      <c r="F2" s="219" t="s">
        <v>7</v>
      </c>
      <c r="G2" s="219" t="s">
        <v>8</v>
      </c>
      <c r="H2" s="219" t="s">
        <v>9</v>
      </c>
      <c r="I2" s="219" t="s">
        <v>10</v>
      </c>
      <c r="J2" s="219" t="s">
        <v>11</v>
      </c>
      <c r="K2" s="219" t="s">
        <v>12</v>
      </c>
      <c r="L2" s="219" t="s">
        <v>13</v>
      </c>
      <c r="M2" s="219" t="s">
        <v>14</v>
      </c>
      <c r="N2" s="219" t="s">
        <v>15</v>
      </c>
      <c r="O2" s="219" t="s">
        <v>16</v>
      </c>
      <c r="P2" s="219" t="s">
        <v>17</v>
      </c>
      <c r="Q2" s="219" t="s">
        <v>18</v>
      </c>
      <c r="R2" s="219" t="s">
        <v>19</v>
      </c>
      <c r="S2" s="219" t="s">
        <v>20</v>
      </c>
      <c r="T2" s="219" t="s">
        <v>21</v>
      </c>
      <c r="U2" s="219" t="s">
        <v>22</v>
      </c>
      <c r="V2" s="219" t="s">
        <v>23</v>
      </c>
    </row>
    <row r="3" spans="1:22" x14ac:dyDescent="0.25">
      <c r="A3" s="2" t="s">
        <v>541</v>
      </c>
      <c r="B3" s="2" t="s">
        <v>2</v>
      </c>
      <c r="C3" s="2" t="s">
        <v>469</v>
      </c>
      <c r="D3" s="4">
        <f t="shared" si="0"/>
        <v>17</v>
      </c>
      <c r="E3" s="220" t="s">
        <v>0</v>
      </c>
      <c r="F3" s="220">
        <v>999</v>
      </c>
      <c r="G3" s="220">
        <v>0</v>
      </c>
      <c r="H3" s="220">
        <v>0</v>
      </c>
      <c r="I3" s="220">
        <v>0</v>
      </c>
      <c r="J3" s="220">
        <v>0</v>
      </c>
      <c r="K3" s="220">
        <v>0</v>
      </c>
      <c r="L3" s="220">
        <v>0</v>
      </c>
      <c r="M3" s="220">
        <v>0</v>
      </c>
      <c r="N3" s="220">
        <v>0</v>
      </c>
      <c r="O3" s="237"/>
      <c r="P3" s="237"/>
      <c r="Q3" s="237"/>
      <c r="R3" s="237"/>
      <c r="S3" s="237"/>
      <c r="T3" s="237"/>
      <c r="U3" s="237"/>
      <c r="V3" s="237"/>
    </row>
    <row r="4" spans="1:22" x14ac:dyDescent="0.25">
      <c r="A4" s="221" t="s">
        <v>29</v>
      </c>
      <c r="B4" s="221" t="s">
        <v>4</v>
      </c>
      <c r="C4" s="221" t="s">
        <v>5</v>
      </c>
      <c r="D4" s="4">
        <f t="shared" si="0"/>
        <v>7</v>
      </c>
      <c r="E4" s="221" t="s">
        <v>30</v>
      </c>
      <c r="F4" s="221" t="s">
        <v>6</v>
      </c>
      <c r="G4" s="221" t="s">
        <v>7</v>
      </c>
      <c r="H4" s="221" t="s">
        <v>31</v>
      </c>
      <c r="I4" s="221" t="s">
        <v>32</v>
      </c>
      <c r="J4" s="221" t="s">
        <v>33</v>
      </c>
      <c r="K4" s="221" t="s">
        <v>34</v>
      </c>
      <c r="L4" s="221" t="s">
        <v>35</v>
      </c>
      <c r="M4" s="221" t="s">
        <v>36</v>
      </c>
      <c r="N4" s="221" t="s">
        <v>37</v>
      </c>
      <c r="O4" s="221" t="s">
        <v>38</v>
      </c>
      <c r="P4" s="221" t="s">
        <v>15</v>
      </c>
      <c r="Q4" s="221" t="s">
        <v>23</v>
      </c>
      <c r="R4" s="221" t="s">
        <v>39</v>
      </c>
    </row>
    <row r="5" spans="1:22" x14ac:dyDescent="0.25">
      <c r="A5" s="220" t="s">
        <v>788</v>
      </c>
      <c r="B5" s="222" t="s">
        <v>144</v>
      </c>
      <c r="C5" s="222" t="s">
        <v>295</v>
      </c>
      <c r="D5" s="4">
        <f>LEN(C5)</f>
        <v>34</v>
      </c>
      <c r="E5" s="222" t="s">
        <v>1</v>
      </c>
      <c r="F5" s="222" t="s">
        <v>1</v>
      </c>
      <c r="G5" s="222">
        <v>0</v>
      </c>
      <c r="H5" s="222" t="s">
        <v>0</v>
      </c>
      <c r="I5" s="222" t="s">
        <v>40</v>
      </c>
      <c r="J5" s="222"/>
      <c r="K5" s="222"/>
      <c r="L5" s="222" t="s">
        <v>41</v>
      </c>
      <c r="M5" s="222">
        <v>1</v>
      </c>
      <c r="N5" s="237" t="s">
        <v>295</v>
      </c>
      <c r="O5" s="222">
        <v>0</v>
      </c>
      <c r="P5" s="222">
        <v>0</v>
      </c>
    </row>
    <row r="6" spans="1:22" x14ac:dyDescent="0.25">
      <c r="A6" s="220" t="s">
        <v>772</v>
      </c>
      <c r="B6" s="222" t="s">
        <v>144</v>
      </c>
      <c r="C6" s="222" t="s">
        <v>424</v>
      </c>
      <c r="D6" s="4">
        <f>LEN(C6)</f>
        <v>40</v>
      </c>
      <c r="E6" s="222" t="s">
        <v>1</v>
      </c>
      <c r="F6" s="222" t="s">
        <v>1</v>
      </c>
      <c r="G6" s="222">
        <v>0</v>
      </c>
      <c r="H6" s="239" t="s">
        <v>0</v>
      </c>
      <c r="I6" s="222" t="s">
        <v>40</v>
      </c>
      <c r="J6" s="222"/>
      <c r="K6" s="222"/>
      <c r="L6" s="222" t="s">
        <v>41</v>
      </c>
      <c r="M6" s="222">
        <v>1</v>
      </c>
      <c r="N6" s="237" t="s">
        <v>424</v>
      </c>
      <c r="O6" s="222">
        <v>0</v>
      </c>
      <c r="P6" s="222">
        <v>0</v>
      </c>
    </row>
    <row r="7" spans="1:22" x14ac:dyDescent="0.25">
      <c r="A7" s="220" t="s">
        <v>773</v>
      </c>
      <c r="B7" s="222" t="s">
        <v>144</v>
      </c>
      <c r="C7" s="222" t="s">
        <v>425</v>
      </c>
      <c r="D7" s="4">
        <f>LEN(C7)</f>
        <v>40</v>
      </c>
      <c r="E7" s="222" t="s">
        <v>1</v>
      </c>
      <c r="F7" s="222" t="s">
        <v>1</v>
      </c>
      <c r="G7" s="222">
        <v>0</v>
      </c>
      <c r="H7" s="239" t="s">
        <v>0</v>
      </c>
      <c r="I7" s="222" t="s">
        <v>40</v>
      </c>
      <c r="J7" s="222"/>
      <c r="K7" s="222"/>
      <c r="L7" s="222" t="s">
        <v>41</v>
      </c>
      <c r="M7" s="222">
        <v>1</v>
      </c>
      <c r="N7" s="237" t="s">
        <v>425</v>
      </c>
      <c r="O7" s="222">
        <v>0</v>
      </c>
      <c r="P7" s="222">
        <v>0</v>
      </c>
    </row>
    <row r="8" spans="1:22" x14ac:dyDescent="0.25">
      <c r="A8" s="220" t="s">
        <v>774</v>
      </c>
      <c r="B8" s="222" t="s">
        <v>144</v>
      </c>
      <c r="C8" s="222" t="s">
        <v>426</v>
      </c>
      <c r="D8" s="4">
        <f>LEN(C8)</f>
        <v>40</v>
      </c>
      <c r="E8" s="222" t="s">
        <v>1</v>
      </c>
      <c r="F8" s="222" t="s">
        <v>1</v>
      </c>
      <c r="G8" s="222">
        <v>0</v>
      </c>
      <c r="H8" s="239" t="s">
        <v>0</v>
      </c>
      <c r="I8" s="222" t="s">
        <v>40</v>
      </c>
      <c r="J8" s="222"/>
      <c r="K8" s="222"/>
      <c r="L8" s="222" t="s">
        <v>41</v>
      </c>
      <c r="M8" s="222">
        <v>1</v>
      </c>
      <c r="N8" s="237" t="s">
        <v>426</v>
      </c>
      <c r="O8" s="222">
        <v>0</v>
      </c>
      <c r="P8" s="222">
        <v>0</v>
      </c>
    </row>
    <row r="9" spans="1:22" x14ac:dyDescent="0.25">
      <c r="A9" s="220" t="s">
        <v>775</v>
      </c>
      <c r="B9" s="222" t="s">
        <v>144</v>
      </c>
      <c r="C9" s="222" t="s">
        <v>427</v>
      </c>
      <c r="D9" s="4">
        <f t="shared" ref="D9:D37" si="1">LEN(C9)</f>
        <v>40</v>
      </c>
      <c r="E9" s="222" t="s">
        <v>1</v>
      </c>
      <c r="F9" s="222" t="s">
        <v>1</v>
      </c>
      <c r="G9" s="222">
        <v>0</v>
      </c>
      <c r="H9" s="239" t="s">
        <v>0</v>
      </c>
      <c r="I9" s="222" t="s">
        <v>40</v>
      </c>
      <c r="J9" s="222"/>
      <c r="K9" s="222"/>
      <c r="L9" s="222" t="s">
        <v>41</v>
      </c>
      <c r="M9" s="222">
        <v>1</v>
      </c>
      <c r="N9" s="237" t="s">
        <v>427</v>
      </c>
      <c r="O9" s="222">
        <v>0</v>
      </c>
      <c r="P9" s="222">
        <v>0</v>
      </c>
    </row>
    <row r="10" spans="1:22" x14ac:dyDescent="0.25">
      <c r="A10" s="220" t="s">
        <v>776</v>
      </c>
      <c r="B10" s="222" t="s">
        <v>144</v>
      </c>
      <c r="C10" s="222" t="s">
        <v>428</v>
      </c>
      <c r="D10" s="4">
        <f t="shared" si="1"/>
        <v>40</v>
      </c>
      <c r="E10" s="222" t="s">
        <v>1</v>
      </c>
      <c r="F10" s="222" t="s">
        <v>1</v>
      </c>
      <c r="G10" s="222">
        <v>0</v>
      </c>
      <c r="H10" s="239" t="s">
        <v>0</v>
      </c>
      <c r="I10" s="222" t="s">
        <v>40</v>
      </c>
      <c r="J10" s="222"/>
      <c r="K10" s="222"/>
      <c r="L10" s="222" t="s">
        <v>41</v>
      </c>
      <c r="M10" s="222">
        <v>1</v>
      </c>
      <c r="N10" s="237" t="s">
        <v>428</v>
      </c>
      <c r="O10" s="222">
        <v>0</v>
      </c>
      <c r="P10" s="222">
        <v>0</v>
      </c>
    </row>
    <row r="11" spans="1:22" x14ac:dyDescent="0.25">
      <c r="A11" s="220" t="s">
        <v>777</v>
      </c>
      <c r="B11" s="222" t="s">
        <v>144</v>
      </c>
      <c r="C11" s="222" t="s">
        <v>429</v>
      </c>
      <c r="D11" s="4">
        <f t="shared" si="1"/>
        <v>40</v>
      </c>
      <c r="E11" s="222" t="s">
        <v>1</v>
      </c>
      <c r="F11" s="222" t="s">
        <v>1</v>
      </c>
      <c r="G11" s="222">
        <v>0</v>
      </c>
      <c r="H11" s="239" t="s">
        <v>0</v>
      </c>
      <c r="I11" s="222" t="s">
        <v>40</v>
      </c>
      <c r="J11" s="222"/>
      <c r="K11" s="222"/>
      <c r="L11" s="222" t="s">
        <v>41</v>
      </c>
      <c r="M11" s="222">
        <v>1</v>
      </c>
      <c r="N11" s="237" t="s">
        <v>429</v>
      </c>
      <c r="O11" s="222">
        <v>0</v>
      </c>
      <c r="P11" s="222">
        <v>0</v>
      </c>
    </row>
    <row r="12" spans="1:22" x14ac:dyDescent="0.25">
      <c r="A12" s="220" t="s">
        <v>778</v>
      </c>
      <c r="B12" s="222" t="s">
        <v>144</v>
      </c>
      <c r="C12" s="222" t="s">
        <v>430</v>
      </c>
      <c r="D12" s="4">
        <f t="shared" si="1"/>
        <v>40</v>
      </c>
      <c r="E12" s="222" t="s">
        <v>1</v>
      </c>
      <c r="F12" s="222" t="s">
        <v>1</v>
      </c>
      <c r="G12" s="222">
        <v>0</v>
      </c>
      <c r="H12" s="239" t="s">
        <v>0</v>
      </c>
      <c r="I12" s="222" t="s">
        <v>40</v>
      </c>
      <c r="J12" s="222"/>
      <c r="K12" s="222"/>
      <c r="L12" s="222" t="s">
        <v>41</v>
      </c>
      <c r="M12" s="222">
        <v>1</v>
      </c>
      <c r="N12" s="237" t="s">
        <v>430</v>
      </c>
      <c r="O12" s="222">
        <v>0</v>
      </c>
      <c r="P12" s="222">
        <v>0</v>
      </c>
    </row>
    <row r="13" spans="1:22" x14ac:dyDescent="0.25">
      <c r="A13" s="220" t="s">
        <v>779</v>
      </c>
      <c r="B13" s="222" t="s">
        <v>144</v>
      </c>
      <c r="C13" s="222" t="s">
        <v>431</v>
      </c>
      <c r="D13" s="4">
        <f t="shared" si="1"/>
        <v>40</v>
      </c>
      <c r="E13" s="222" t="s">
        <v>1</v>
      </c>
      <c r="F13" s="222" t="s">
        <v>1</v>
      </c>
      <c r="G13" s="222">
        <v>0</v>
      </c>
      <c r="H13" s="239" t="s">
        <v>0</v>
      </c>
      <c r="I13" s="222" t="s">
        <v>40</v>
      </c>
      <c r="J13" s="222"/>
      <c r="K13" s="222"/>
      <c r="L13" s="222" t="s">
        <v>41</v>
      </c>
      <c r="M13" s="222">
        <v>1</v>
      </c>
      <c r="N13" s="237" t="s">
        <v>431</v>
      </c>
      <c r="O13" s="222">
        <v>0</v>
      </c>
      <c r="P13" s="222">
        <v>0</v>
      </c>
    </row>
    <row r="14" spans="1:22" x14ac:dyDescent="0.25">
      <c r="A14" s="220" t="s">
        <v>780</v>
      </c>
      <c r="B14" s="222" t="s">
        <v>144</v>
      </c>
      <c r="C14" s="222" t="s">
        <v>432</v>
      </c>
      <c r="D14" s="4">
        <f t="shared" si="1"/>
        <v>40</v>
      </c>
      <c r="E14" s="222" t="s">
        <v>1</v>
      </c>
      <c r="F14" s="222" t="s">
        <v>1</v>
      </c>
      <c r="G14" s="222">
        <v>0</v>
      </c>
      <c r="H14" s="239" t="s">
        <v>0</v>
      </c>
      <c r="I14" s="222" t="s">
        <v>40</v>
      </c>
      <c r="J14" s="222"/>
      <c r="K14" s="222"/>
      <c r="L14" s="222" t="s">
        <v>41</v>
      </c>
      <c r="M14" s="222">
        <v>1</v>
      </c>
      <c r="N14" s="237" t="s">
        <v>432</v>
      </c>
      <c r="O14" s="222">
        <v>0</v>
      </c>
      <c r="P14" s="222">
        <v>0</v>
      </c>
    </row>
    <row r="15" spans="1:22" x14ac:dyDescent="0.25">
      <c r="A15" s="220" t="s">
        <v>781</v>
      </c>
      <c r="B15" s="222" t="s">
        <v>144</v>
      </c>
      <c r="C15" s="222" t="s">
        <v>433</v>
      </c>
      <c r="D15" s="4">
        <f t="shared" si="1"/>
        <v>40</v>
      </c>
      <c r="E15" s="222" t="s">
        <v>1</v>
      </c>
      <c r="F15" s="222" t="s">
        <v>1</v>
      </c>
      <c r="G15" s="222">
        <v>0</v>
      </c>
      <c r="H15" s="239" t="s">
        <v>0</v>
      </c>
      <c r="I15" s="222" t="s">
        <v>40</v>
      </c>
      <c r="J15" s="222"/>
      <c r="K15" s="222"/>
      <c r="L15" s="222" t="s">
        <v>41</v>
      </c>
      <c r="M15" s="222">
        <v>1</v>
      </c>
      <c r="N15" s="237" t="s">
        <v>433</v>
      </c>
      <c r="O15" s="222">
        <v>0</v>
      </c>
      <c r="P15" s="222">
        <v>0</v>
      </c>
    </row>
    <row r="16" spans="1:22" x14ac:dyDescent="0.25">
      <c r="A16" s="220" t="s">
        <v>782</v>
      </c>
      <c r="B16" s="222" t="s">
        <v>144</v>
      </c>
      <c r="C16" s="222" t="s">
        <v>434</v>
      </c>
      <c r="D16" s="4">
        <f t="shared" si="1"/>
        <v>40</v>
      </c>
      <c r="E16" s="222" t="s">
        <v>1</v>
      </c>
      <c r="F16" s="222" t="s">
        <v>1</v>
      </c>
      <c r="G16" s="222">
        <v>0</v>
      </c>
      <c r="H16" s="239" t="s">
        <v>0</v>
      </c>
      <c r="I16" s="222" t="s">
        <v>40</v>
      </c>
      <c r="J16" s="222"/>
      <c r="K16" s="222"/>
      <c r="L16" s="222" t="s">
        <v>41</v>
      </c>
      <c r="M16" s="222">
        <v>1</v>
      </c>
      <c r="N16" s="237" t="s">
        <v>434</v>
      </c>
      <c r="O16" s="222">
        <v>0</v>
      </c>
      <c r="P16" s="222">
        <v>0</v>
      </c>
    </row>
    <row r="17" spans="1:64" x14ac:dyDescent="0.25">
      <c r="A17" s="220" t="s">
        <v>783</v>
      </c>
      <c r="B17" s="222" t="s">
        <v>144</v>
      </c>
      <c r="C17" s="222" t="s">
        <v>435</v>
      </c>
      <c r="D17" s="4">
        <f t="shared" si="1"/>
        <v>40</v>
      </c>
      <c r="E17" s="222" t="s">
        <v>1</v>
      </c>
      <c r="F17" s="222" t="s">
        <v>1</v>
      </c>
      <c r="G17" s="222">
        <v>0</v>
      </c>
      <c r="H17" s="239" t="s">
        <v>0</v>
      </c>
      <c r="I17" s="222" t="s">
        <v>40</v>
      </c>
      <c r="J17" s="222"/>
      <c r="K17" s="222"/>
      <c r="L17" s="222" t="s">
        <v>41</v>
      </c>
      <c r="M17" s="222">
        <v>1</v>
      </c>
      <c r="N17" s="237" t="s">
        <v>435</v>
      </c>
      <c r="O17" s="222">
        <v>0</v>
      </c>
      <c r="P17" s="222">
        <v>0</v>
      </c>
    </row>
    <row r="18" spans="1:64" x14ac:dyDescent="0.25">
      <c r="A18" s="220" t="s">
        <v>784</v>
      </c>
      <c r="B18" s="222" t="s">
        <v>144</v>
      </c>
      <c r="C18" s="222" t="s">
        <v>436</v>
      </c>
      <c r="D18" s="4">
        <f t="shared" si="1"/>
        <v>40</v>
      </c>
      <c r="E18" s="222" t="s">
        <v>1</v>
      </c>
      <c r="F18" s="222" t="s">
        <v>1</v>
      </c>
      <c r="G18" s="222">
        <v>0</v>
      </c>
      <c r="H18" s="239" t="s">
        <v>0</v>
      </c>
      <c r="I18" s="222" t="s">
        <v>40</v>
      </c>
      <c r="J18" s="222"/>
      <c r="K18" s="222"/>
      <c r="L18" s="222" t="s">
        <v>41</v>
      </c>
      <c r="M18" s="222">
        <v>1</v>
      </c>
      <c r="N18" s="237" t="s">
        <v>436</v>
      </c>
      <c r="O18" s="222">
        <v>0</v>
      </c>
      <c r="P18" s="222">
        <v>0</v>
      </c>
    </row>
    <row r="19" spans="1:64" x14ac:dyDescent="0.25">
      <c r="A19" s="220" t="s">
        <v>785</v>
      </c>
      <c r="B19" s="222" t="s">
        <v>144</v>
      </c>
      <c r="C19" s="222" t="s">
        <v>437</v>
      </c>
      <c r="D19" s="4">
        <f t="shared" si="1"/>
        <v>40</v>
      </c>
      <c r="E19" s="222" t="s">
        <v>1</v>
      </c>
      <c r="F19" s="222" t="s">
        <v>1</v>
      </c>
      <c r="G19" s="222">
        <v>0</v>
      </c>
      <c r="H19" s="239" t="s">
        <v>0</v>
      </c>
      <c r="I19" s="222" t="s">
        <v>40</v>
      </c>
      <c r="J19" s="222"/>
      <c r="K19" s="222"/>
      <c r="L19" s="222" t="s">
        <v>41</v>
      </c>
      <c r="M19" s="222">
        <v>1</v>
      </c>
      <c r="N19" s="237" t="s">
        <v>437</v>
      </c>
      <c r="O19" s="222">
        <v>0</v>
      </c>
      <c r="P19" s="222">
        <v>0</v>
      </c>
    </row>
    <row r="20" spans="1:64" x14ac:dyDescent="0.25">
      <c r="A20" s="220" t="s">
        <v>786</v>
      </c>
      <c r="B20" s="222" t="s">
        <v>144</v>
      </c>
      <c r="C20" s="222" t="s">
        <v>438</v>
      </c>
      <c r="D20" s="4">
        <f t="shared" si="1"/>
        <v>40</v>
      </c>
      <c r="E20" s="222" t="s">
        <v>1</v>
      </c>
      <c r="F20" s="222" t="s">
        <v>1</v>
      </c>
      <c r="G20" s="222">
        <v>0</v>
      </c>
      <c r="H20" s="239" t="s">
        <v>0</v>
      </c>
      <c r="I20" s="222" t="s">
        <v>40</v>
      </c>
      <c r="J20" s="222"/>
      <c r="K20" s="222"/>
      <c r="L20" s="222" t="s">
        <v>41</v>
      </c>
      <c r="M20" s="222">
        <v>1</v>
      </c>
      <c r="N20" s="237" t="s">
        <v>438</v>
      </c>
      <c r="O20" s="222">
        <v>0</v>
      </c>
      <c r="P20" s="222">
        <v>0</v>
      </c>
    </row>
    <row r="21" spans="1:64" x14ac:dyDescent="0.25">
      <c r="A21" s="220" t="s">
        <v>787</v>
      </c>
      <c r="B21" s="222" t="s">
        <v>144</v>
      </c>
      <c r="C21" s="222" t="s">
        <v>439</v>
      </c>
      <c r="D21" s="4">
        <f t="shared" si="1"/>
        <v>40</v>
      </c>
      <c r="E21" s="222" t="s">
        <v>1</v>
      </c>
      <c r="F21" s="222" t="s">
        <v>1</v>
      </c>
      <c r="G21" s="222">
        <v>0</v>
      </c>
      <c r="H21" s="239" t="s">
        <v>0</v>
      </c>
      <c r="I21" s="222" t="s">
        <v>40</v>
      </c>
      <c r="J21" s="222"/>
      <c r="K21" s="222"/>
      <c r="L21" s="222" t="s">
        <v>41</v>
      </c>
      <c r="M21" s="222">
        <v>1</v>
      </c>
      <c r="N21" s="237" t="s">
        <v>439</v>
      </c>
      <c r="O21" s="222">
        <v>0</v>
      </c>
      <c r="P21" s="222">
        <v>0</v>
      </c>
    </row>
    <row r="22" spans="1:64" x14ac:dyDescent="0.25">
      <c r="A22" s="223" t="s">
        <v>43</v>
      </c>
      <c r="B22" s="223" t="s">
        <v>4</v>
      </c>
      <c r="C22" s="223" t="s">
        <v>5</v>
      </c>
      <c r="D22" s="4">
        <f t="shared" si="1"/>
        <v>7</v>
      </c>
      <c r="E22" s="223" t="s">
        <v>30</v>
      </c>
      <c r="F22" s="223" t="s">
        <v>6</v>
      </c>
      <c r="G22" s="223" t="s">
        <v>7</v>
      </c>
      <c r="H22" s="223" t="s">
        <v>31</v>
      </c>
      <c r="I22" s="223" t="s">
        <v>32</v>
      </c>
      <c r="J22" s="223" t="s">
        <v>33</v>
      </c>
      <c r="K22" s="223" t="s">
        <v>34</v>
      </c>
      <c r="L22" s="223" t="s">
        <v>35</v>
      </c>
      <c r="M22" s="223" t="s">
        <v>36</v>
      </c>
      <c r="N22" s="223" t="s">
        <v>44</v>
      </c>
      <c r="O22" s="223" t="s">
        <v>45</v>
      </c>
      <c r="P22" s="223" t="s">
        <v>46</v>
      </c>
      <c r="Q22" s="223" t="s">
        <v>47</v>
      </c>
      <c r="R22" s="223" t="s">
        <v>48</v>
      </c>
      <c r="S22" s="223" t="s">
        <v>37</v>
      </c>
      <c r="T22" s="223" t="s">
        <v>38</v>
      </c>
      <c r="U22" s="223" t="s">
        <v>15</v>
      </c>
      <c r="V22" s="223" t="s">
        <v>23</v>
      </c>
      <c r="W22" s="223" t="s">
        <v>39</v>
      </c>
    </row>
    <row r="23" spans="1:64" x14ac:dyDescent="0.25">
      <c r="A23" s="6" t="str">
        <f>$A$3&amp;"1_DI_UE"</f>
        <v>BXX_DTY1_DP1_DI_UE</v>
      </c>
      <c r="B23" s="6" t="str">
        <f>$A$3</f>
        <v>BXX_DTY1_DP</v>
      </c>
      <c r="C23" s="6" t="str">
        <f>$C$3 &amp;" Assignment Update Error"</f>
        <v>Station Pump Duty Assignment Update Error</v>
      </c>
      <c r="D23" s="4">
        <f t="shared" si="1"/>
        <v>41</v>
      </c>
      <c r="E23" s="224" t="s">
        <v>1</v>
      </c>
      <c r="F23" s="224" t="s">
        <v>0</v>
      </c>
      <c r="G23" s="2">
        <v>673</v>
      </c>
      <c r="H23" s="224" t="s">
        <v>0</v>
      </c>
      <c r="I23" s="224" t="s">
        <v>40</v>
      </c>
      <c r="J23" s="224" t="s">
        <v>40</v>
      </c>
      <c r="K23" s="224" t="s">
        <v>42</v>
      </c>
      <c r="L23" s="224" t="s">
        <v>41</v>
      </c>
      <c r="M23" s="224">
        <v>1</v>
      </c>
      <c r="N23" s="224" t="s">
        <v>49</v>
      </c>
      <c r="O23" s="2" t="s">
        <v>2</v>
      </c>
      <c r="P23" s="224" t="s">
        <v>1</v>
      </c>
      <c r="Q23" s="6" t="str">
        <f>$A$3&amp;".DI_UE"</f>
        <v>BXX_DTY1_DP.DI_UE</v>
      </c>
      <c r="R23" s="224" t="s">
        <v>0</v>
      </c>
      <c r="S23" s="6" t="str">
        <f>C23</f>
        <v>Station Pump Duty Assignment Update Error</v>
      </c>
      <c r="T23" s="224">
        <v>0</v>
      </c>
      <c r="U23" s="224">
        <v>0</v>
      </c>
    </row>
    <row r="24" spans="1:64" x14ac:dyDescent="0.25">
      <c r="A24" s="6" t="str">
        <f>$A$3&amp;"1_PB_AU"</f>
        <v>BXX_DTY1_DP1_PB_AU</v>
      </c>
      <c r="B24" s="6" t="str">
        <f t="shared" ref="B24:B26" si="2">$A$3</f>
        <v>BXX_DTY1_DP</v>
      </c>
      <c r="C24" s="6" t="str">
        <f>$C$3 &amp;" Assignment Update"</f>
        <v>Station Pump Duty Assignment Update</v>
      </c>
      <c r="D24" s="4">
        <f t="shared" si="1"/>
        <v>35</v>
      </c>
      <c r="E24" s="239" t="s">
        <v>1</v>
      </c>
      <c r="F24" s="224" t="s">
        <v>0</v>
      </c>
      <c r="G24" s="2">
        <v>613</v>
      </c>
      <c r="H24" s="239" t="s">
        <v>0</v>
      </c>
      <c r="I24" s="224" t="s">
        <v>40</v>
      </c>
      <c r="J24" s="224" t="s">
        <v>40</v>
      </c>
      <c r="K24" s="224" t="s">
        <v>42</v>
      </c>
      <c r="L24" s="224" t="s">
        <v>41</v>
      </c>
      <c r="M24" s="224">
        <v>1</v>
      </c>
      <c r="N24" s="224" t="s">
        <v>49</v>
      </c>
      <c r="O24" s="6" t="str">
        <f>$O$23</f>
        <v>BXX</v>
      </c>
      <c r="P24" s="224" t="s">
        <v>1</v>
      </c>
      <c r="Q24" s="6" t="str">
        <f>$A$3&amp;".PB_AU"</f>
        <v>BXX_DTY1_DP.PB_AU</v>
      </c>
      <c r="R24" s="224" t="s">
        <v>1</v>
      </c>
      <c r="S24" s="6" t="str">
        <f t="shared" ref="S24:S26" si="3">C24</f>
        <v>Station Pump Duty Assignment Update</v>
      </c>
      <c r="T24" s="224">
        <v>0</v>
      </c>
      <c r="U24" s="224">
        <v>0</v>
      </c>
    </row>
    <row r="25" spans="1:64" s="237" customFormat="1" x14ac:dyDescent="0.25">
      <c r="A25" s="6" t="str">
        <f>$A$3&amp;"1_PB_SU"</f>
        <v>BXX_DTY1_DP1_PB_SU</v>
      </c>
      <c r="B25" s="6" t="str">
        <f t="shared" si="2"/>
        <v>BXX_DTY1_DP</v>
      </c>
      <c r="C25" s="6" t="str">
        <f>$C$3 &amp;" Setpoint Update"</f>
        <v>Station Pump Duty Setpoint Update</v>
      </c>
      <c r="D25" s="4">
        <f t="shared" si="1"/>
        <v>33</v>
      </c>
      <c r="E25" s="239" t="s">
        <v>1</v>
      </c>
      <c r="F25" s="238" t="s">
        <v>0</v>
      </c>
      <c r="G25" s="2">
        <v>600</v>
      </c>
      <c r="H25" s="239" t="s">
        <v>0</v>
      </c>
      <c r="I25" s="238" t="s">
        <v>40</v>
      </c>
      <c r="J25" s="238" t="s">
        <v>40</v>
      </c>
      <c r="K25" s="238" t="s">
        <v>42</v>
      </c>
      <c r="L25" s="238" t="s">
        <v>41</v>
      </c>
      <c r="M25" s="238">
        <v>1</v>
      </c>
      <c r="N25" s="238" t="s">
        <v>49</v>
      </c>
      <c r="O25" s="6" t="str">
        <f t="shared" ref="O25:O26" si="4">$O$23</f>
        <v>BXX</v>
      </c>
      <c r="P25" s="238" t="s">
        <v>1</v>
      </c>
      <c r="Q25" s="6" t="str">
        <f>$A$3&amp;".PB_SU"</f>
        <v>BXX_DTY1_DP.PB_SU</v>
      </c>
      <c r="R25" s="238" t="s">
        <v>1</v>
      </c>
      <c r="S25" s="6" t="str">
        <f t="shared" si="3"/>
        <v>Station Pump Duty Setpoint Update</v>
      </c>
      <c r="T25" s="238">
        <v>0</v>
      </c>
      <c r="U25" s="238">
        <v>0</v>
      </c>
    </row>
    <row r="26" spans="1:64" s="238" customFormat="1" x14ac:dyDescent="0.25">
      <c r="A26" s="6" t="str">
        <f>$A$3&amp;"1_DI_EE"</f>
        <v>BXX_DTY1_DP1_DI_EE</v>
      </c>
      <c r="B26" s="6" t="str">
        <f t="shared" si="2"/>
        <v>BXX_DTY1_DP</v>
      </c>
      <c r="C26" s="6" t="str">
        <f>$C$3 &amp;" Setpoint Update Error"</f>
        <v>Station Pump Duty Setpoint Update Error</v>
      </c>
      <c r="D26" s="4">
        <f t="shared" si="1"/>
        <v>39</v>
      </c>
      <c r="E26" s="239" t="s">
        <v>1</v>
      </c>
      <c r="F26" s="239" t="s">
        <v>0</v>
      </c>
      <c r="G26" s="2">
        <v>600</v>
      </c>
      <c r="H26" s="239" t="s">
        <v>0</v>
      </c>
      <c r="I26" s="239" t="s">
        <v>40</v>
      </c>
      <c r="J26" s="239" t="s">
        <v>40</v>
      </c>
      <c r="K26" s="239" t="s">
        <v>42</v>
      </c>
      <c r="L26" s="239" t="s">
        <v>41</v>
      </c>
      <c r="M26" s="239">
        <v>1</v>
      </c>
      <c r="N26" s="239" t="s">
        <v>49</v>
      </c>
      <c r="O26" s="6" t="str">
        <f t="shared" si="4"/>
        <v>BXX</v>
      </c>
      <c r="P26" s="239" t="s">
        <v>1</v>
      </c>
      <c r="Q26" s="6" t="str">
        <f>$A$3&amp;".DI_EE"</f>
        <v>BXX_DTY1_DP.DI_EE</v>
      </c>
      <c r="R26" s="239" t="s">
        <v>1</v>
      </c>
      <c r="S26" s="6" t="str">
        <f t="shared" si="3"/>
        <v>Station Pump Duty Setpoint Update Error</v>
      </c>
      <c r="T26" s="239">
        <v>0</v>
      </c>
      <c r="U26" s="239">
        <v>0</v>
      </c>
    </row>
    <row r="27" spans="1:64" x14ac:dyDescent="0.25">
      <c r="A27" s="225" t="s">
        <v>100</v>
      </c>
      <c r="B27" s="225" t="s">
        <v>4</v>
      </c>
      <c r="C27" s="225" t="s">
        <v>5</v>
      </c>
      <c r="D27" s="4">
        <f t="shared" si="1"/>
        <v>7</v>
      </c>
      <c r="E27" s="225" t="s">
        <v>30</v>
      </c>
      <c r="F27" s="225" t="s">
        <v>6</v>
      </c>
      <c r="G27" s="225" t="s">
        <v>7</v>
      </c>
      <c r="H27" s="225" t="s">
        <v>31</v>
      </c>
      <c r="I27" s="225" t="s">
        <v>66</v>
      </c>
      <c r="J27" s="225" t="s">
        <v>67</v>
      </c>
      <c r="K27" s="225" t="s">
        <v>68</v>
      </c>
      <c r="L27" s="225" t="s">
        <v>69</v>
      </c>
      <c r="M27" s="225" t="s">
        <v>70</v>
      </c>
      <c r="N27" s="225" t="s">
        <v>101</v>
      </c>
      <c r="O27" s="225" t="s">
        <v>102</v>
      </c>
      <c r="P27" s="225" t="s">
        <v>73</v>
      </c>
      <c r="Q27" s="225" t="s">
        <v>74</v>
      </c>
      <c r="R27" s="225" t="s">
        <v>75</v>
      </c>
      <c r="S27" s="225" t="s">
        <v>76</v>
      </c>
      <c r="T27" s="225" t="s">
        <v>77</v>
      </c>
      <c r="U27" s="225" t="s">
        <v>78</v>
      </c>
      <c r="V27" s="225" t="s">
        <v>79</v>
      </c>
      <c r="W27" s="225" t="s">
        <v>80</v>
      </c>
      <c r="X27" s="225" t="s">
        <v>81</v>
      </c>
      <c r="Y27" s="225" t="s">
        <v>82</v>
      </c>
      <c r="Z27" s="225" t="s">
        <v>83</v>
      </c>
      <c r="AA27" s="225" t="s">
        <v>84</v>
      </c>
      <c r="AB27" s="225" t="s">
        <v>85</v>
      </c>
      <c r="AC27" s="225" t="s">
        <v>86</v>
      </c>
      <c r="AD27" s="225" t="s">
        <v>87</v>
      </c>
      <c r="AE27" s="225" t="s">
        <v>88</v>
      </c>
      <c r="AF27" s="225" t="s">
        <v>89</v>
      </c>
      <c r="AG27" s="225" t="s">
        <v>90</v>
      </c>
      <c r="AH27" s="225" t="s">
        <v>91</v>
      </c>
      <c r="AI27" s="225" t="s">
        <v>92</v>
      </c>
      <c r="AJ27" s="225" t="s">
        <v>93</v>
      </c>
      <c r="AK27" s="225" t="s">
        <v>94</v>
      </c>
      <c r="AL27" s="225" t="s">
        <v>95</v>
      </c>
      <c r="AM27" s="225" t="s">
        <v>96</v>
      </c>
      <c r="AN27" s="225" t="s">
        <v>97</v>
      </c>
      <c r="AO27" s="225" t="s">
        <v>103</v>
      </c>
      <c r="AP27" s="225" t="s">
        <v>104</v>
      </c>
      <c r="AQ27" s="225" t="s">
        <v>105</v>
      </c>
      <c r="AR27" s="225" t="s">
        <v>45</v>
      </c>
      <c r="AS27" s="225" t="s">
        <v>46</v>
      </c>
      <c r="AT27" s="225" t="s">
        <v>47</v>
      </c>
      <c r="AU27" s="225" t="s">
        <v>48</v>
      </c>
      <c r="AV27" s="225" t="s">
        <v>37</v>
      </c>
      <c r="AW27" s="225" t="s">
        <v>38</v>
      </c>
      <c r="AX27" s="225" t="s">
        <v>8</v>
      </c>
      <c r="AY27" s="225" t="s">
        <v>9</v>
      </c>
      <c r="AZ27" s="225" t="s">
        <v>10</v>
      </c>
      <c r="BA27" s="225" t="s">
        <v>11</v>
      </c>
      <c r="BB27" s="225" t="s">
        <v>12</v>
      </c>
      <c r="BC27" s="225" t="s">
        <v>13</v>
      </c>
      <c r="BD27" s="225" t="s">
        <v>14</v>
      </c>
      <c r="BE27" s="225" t="s">
        <v>16</v>
      </c>
      <c r="BF27" s="225" t="s">
        <v>17</v>
      </c>
      <c r="BG27" s="225" t="s">
        <v>18</v>
      </c>
      <c r="BH27" s="225" t="s">
        <v>19</v>
      </c>
      <c r="BI27" s="225" t="s">
        <v>20</v>
      </c>
      <c r="BJ27" s="225" t="s">
        <v>21</v>
      </c>
      <c r="BK27" s="225" t="s">
        <v>22</v>
      </c>
      <c r="BL27" s="225" t="s">
        <v>39</v>
      </c>
    </row>
    <row r="28" spans="1:64" x14ac:dyDescent="0.25">
      <c r="A28" s="6" t="str">
        <f>$A$3&amp;"1_AI_CT"</f>
        <v>BXX_DTY1_DP1_AI_CT</v>
      </c>
      <c r="B28" s="6" t="str">
        <f>$A$3</f>
        <v>BXX_DTY1_DP</v>
      </c>
      <c r="C28" s="6" t="str">
        <f>$C$3 &amp; " Pump 1"</f>
        <v>Station Pump Duty Pump 1</v>
      </c>
      <c r="D28" s="4">
        <f t="shared" si="1"/>
        <v>24</v>
      </c>
      <c r="E28" s="226" t="s">
        <v>1</v>
      </c>
      <c r="F28" s="226" t="s">
        <v>0</v>
      </c>
      <c r="G28" s="2">
        <v>700</v>
      </c>
      <c r="H28" s="226" t="s">
        <v>0</v>
      </c>
      <c r="I28" s="226" t="s">
        <v>1</v>
      </c>
      <c r="J28" s="226">
        <v>0</v>
      </c>
      <c r="K28" s="226">
        <v>0</v>
      </c>
      <c r="L28" s="226"/>
      <c r="M28" s="226">
        <v>1</v>
      </c>
      <c r="N28" s="226">
        <v>1</v>
      </c>
      <c r="O28" s="2">
        <v>4</v>
      </c>
      <c r="P28" s="226">
        <v>0</v>
      </c>
      <c r="Q28" s="226">
        <v>0</v>
      </c>
      <c r="R28" s="226" t="s">
        <v>40</v>
      </c>
      <c r="S28" s="226">
        <v>0</v>
      </c>
      <c r="T28" s="226">
        <v>1</v>
      </c>
      <c r="U28" s="226" t="s">
        <v>40</v>
      </c>
      <c r="V28" s="226">
        <v>0</v>
      </c>
      <c r="W28" s="226">
        <v>1</v>
      </c>
      <c r="X28" s="226" t="s">
        <v>40</v>
      </c>
      <c r="Y28" s="226">
        <v>0</v>
      </c>
      <c r="Z28" s="226">
        <v>1</v>
      </c>
      <c r="AA28" s="226" t="s">
        <v>40</v>
      </c>
      <c r="AB28" s="226">
        <v>0</v>
      </c>
      <c r="AC28" s="226">
        <v>1</v>
      </c>
      <c r="AD28" s="226" t="s">
        <v>40</v>
      </c>
      <c r="AE28" s="226">
        <v>0</v>
      </c>
      <c r="AF28" s="226">
        <v>1</v>
      </c>
      <c r="AG28" s="226" t="s">
        <v>40</v>
      </c>
      <c r="AH28" s="226">
        <v>0</v>
      </c>
      <c r="AI28" s="226">
        <v>1</v>
      </c>
      <c r="AJ28" s="226">
        <v>0</v>
      </c>
      <c r="AK28" s="226" t="s">
        <v>40</v>
      </c>
      <c r="AL28" s="226">
        <v>0</v>
      </c>
      <c r="AM28" s="226">
        <v>1</v>
      </c>
      <c r="AN28" s="226" t="s">
        <v>98</v>
      </c>
      <c r="AO28" s="237">
        <v>1</v>
      </c>
      <c r="AP28" s="6">
        <f>$O$28</f>
        <v>4</v>
      </c>
      <c r="AQ28" s="226" t="s">
        <v>106</v>
      </c>
      <c r="AR28" s="6" t="str">
        <f t="shared" ref="AR28:AR74" si="5">$O$23</f>
        <v>BXX</v>
      </c>
      <c r="AS28" s="226" t="s">
        <v>1</v>
      </c>
      <c r="AT28" s="6" t="str">
        <f>$A$3&amp;".DTY1_STS.AI_CT"</f>
        <v>BXX_DTY1_DP.DTY1_STS.AI_CT</v>
      </c>
      <c r="AU28" s="226" t="s">
        <v>0</v>
      </c>
      <c r="AV28" s="6" t="str">
        <f>C28</f>
        <v>Station Pump Duty Pump 1</v>
      </c>
      <c r="AW28" s="226">
        <v>0</v>
      </c>
      <c r="AX28" s="226">
        <v>0</v>
      </c>
      <c r="AY28" s="226">
        <v>0</v>
      </c>
      <c r="AZ28" s="226">
        <v>0</v>
      </c>
      <c r="BA28" s="226">
        <v>0</v>
      </c>
      <c r="BB28" s="226">
        <v>0</v>
      </c>
      <c r="BC28" s="226">
        <v>0</v>
      </c>
      <c r="BD28" s="226">
        <v>0</v>
      </c>
    </row>
    <row r="29" spans="1:64" x14ac:dyDescent="0.25">
      <c r="A29" s="6" t="str">
        <f>$A$3&amp;"2_AI_CT"</f>
        <v>BXX_DTY1_DP2_AI_CT</v>
      </c>
      <c r="B29" s="6" t="str">
        <f>$A$3</f>
        <v>BXX_DTY1_DP</v>
      </c>
      <c r="C29" s="6" t="str">
        <f>$C$3 &amp; " Pump 2"</f>
        <v>Station Pump Duty Pump 2</v>
      </c>
      <c r="D29" s="4">
        <f t="shared" si="1"/>
        <v>24</v>
      </c>
      <c r="E29" s="226" t="s">
        <v>1</v>
      </c>
      <c r="F29" s="226" t="s">
        <v>0</v>
      </c>
      <c r="G29" s="2">
        <v>700</v>
      </c>
      <c r="H29" s="239" t="s">
        <v>0</v>
      </c>
      <c r="I29" s="226" t="s">
        <v>1</v>
      </c>
      <c r="J29" s="226">
        <v>0</v>
      </c>
      <c r="K29" s="226">
        <v>0</v>
      </c>
      <c r="L29" s="226"/>
      <c r="M29" s="226">
        <v>1</v>
      </c>
      <c r="N29" s="226">
        <v>1</v>
      </c>
      <c r="O29" s="6">
        <f>$O$28</f>
        <v>4</v>
      </c>
      <c r="P29" s="226">
        <v>0</v>
      </c>
      <c r="Q29" s="226">
        <v>0</v>
      </c>
      <c r="R29" s="226" t="s">
        <v>40</v>
      </c>
      <c r="S29" s="226">
        <v>0</v>
      </c>
      <c r="T29" s="226">
        <v>1</v>
      </c>
      <c r="U29" s="226" t="s">
        <v>40</v>
      </c>
      <c r="V29" s="226">
        <v>0</v>
      </c>
      <c r="W29" s="226">
        <v>1</v>
      </c>
      <c r="X29" s="226" t="s">
        <v>40</v>
      </c>
      <c r="Y29" s="226">
        <v>0</v>
      </c>
      <c r="Z29" s="226">
        <v>1</v>
      </c>
      <c r="AA29" s="226" t="s">
        <v>40</v>
      </c>
      <c r="AB29" s="226">
        <v>0</v>
      </c>
      <c r="AC29" s="226">
        <v>1</v>
      </c>
      <c r="AD29" s="226" t="s">
        <v>40</v>
      </c>
      <c r="AE29" s="226">
        <v>0</v>
      </c>
      <c r="AF29" s="226">
        <v>1</v>
      </c>
      <c r="AG29" s="226" t="s">
        <v>40</v>
      </c>
      <c r="AH29" s="226">
        <v>0</v>
      </c>
      <c r="AI29" s="226">
        <v>1</v>
      </c>
      <c r="AJ29" s="226">
        <v>0</v>
      </c>
      <c r="AK29" s="226" t="s">
        <v>40</v>
      </c>
      <c r="AL29" s="226">
        <v>0</v>
      </c>
      <c r="AM29" s="226">
        <v>1</v>
      </c>
      <c r="AN29" s="226" t="s">
        <v>98</v>
      </c>
      <c r="AO29" s="237">
        <v>1</v>
      </c>
      <c r="AP29" s="6">
        <f>$O$28</f>
        <v>4</v>
      </c>
      <c r="AQ29" s="226" t="s">
        <v>106</v>
      </c>
      <c r="AR29" s="6" t="str">
        <f t="shared" si="5"/>
        <v>BXX</v>
      </c>
      <c r="AS29" s="226" t="s">
        <v>1</v>
      </c>
      <c r="AT29" s="6" t="str">
        <f>$A$3&amp;".DTY2_STS.AI_CT"</f>
        <v>BXX_DTY1_DP.DTY2_STS.AI_CT</v>
      </c>
      <c r="AU29" s="226" t="s">
        <v>0</v>
      </c>
      <c r="AV29" s="6" t="str">
        <f t="shared" ref="AV29:AV37" si="6">C29</f>
        <v>Station Pump Duty Pump 2</v>
      </c>
      <c r="AW29" s="226">
        <v>0</v>
      </c>
      <c r="AX29" s="226">
        <v>0</v>
      </c>
      <c r="AY29" s="226">
        <v>0</v>
      </c>
      <c r="AZ29" s="226">
        <v>0</v>
      </c>
      <c r="BA29" s="226">
        <v>0</v>
      </c>
      <c r="BB29" s="226">
        <v>0</v>
      </c>
      <c r="BC29" s="226">
        <v>0</v>
      </c>
      <c r="BD29" s="226">
        <v>0</v>
      </c>
    </row>
    <row r="30" spans="1:64" x14ac:dyDescent="0.25">
      <c r="A30" s="3" t="str">
        <f>$A$3&amp;"3_AI_CT"</f>
        <v>BXX_DTY1_DP3_AI_CT</v>
      </c>
      <c r="B30" s="6" t="str">
        <f t="shared" ref="B30:B74" si="7">$A$3</f>
        <v>BXX_DTY1_DP</v>
      </c>
      <c r="C30" s="6" t="str">
        <f>$C$3 &amp; " Pump 3"</f>
        <v>Station Pump Duty Pump 3</v>
      </c>
      <c r="D30" s="4">
        <f t="shared" si="1"/>
        <v>24</v>
      </c>
      <c r="E30" s="226" t="s">
        <v>1</v>
      </c>
      <c r="F30" s="226" t="s">
        <v>0</v>
      </c>
      <c r="G30" s="2">
        <v>700</v>
      </c>
      <c r="H30" s="239" t="s">
        <v>0</v>
      </c>
      <c r="I30" s="226" t="s">
        <v>1</v>
      </c>
      <c r="J30" s="226">
        <v>0</v>
      </c>
      <c r="K30" s="226">
        <v>0</v>
      </c>
      <c r="L30" s="226"/>
      <c r="M30" s="226">
        <v>1</v>
      </c>
      <c r="N30" s="226">
        <v>1</v>
      </c>
      <c r="O30" s="6">
        <f t="shared" ref="O30:O31" si="8">$O$28</f>
        <v>4</v>
      </c>
      <c r="P30" s="226">
        <v>0</v>
      </c>
      <c r="Q30" s="226">
        <v>0</v>
      </c>
      <c r="R30" s="226" t="s">
        <v>40</v>
      </c>
      <c r="S30" s="226">
        <v>0</v>
      </c>
      <c r="T30" s="226">
        <v>1</v>
      </c>
      <c r="U30" s="226" t="s">
        <v>40</v>
      </c>
      <c r="V30" s="226">
        <v>0</v>
      </c>
      <c r="W30" s="226">
        <v>1</v>
      </c>
      <c r="X30" s="226" t="s">
        <v>40</v>
      </c>
      <c r="Y30" s="226">
        <v>0</v>
      </c>
      <c r="Z30" s="226">
        <v>1</v>
      </c>
      <c r="AA30" s="226" t="s">
        <v>40</v>
      </c>
      <c r="AB30" s="226">
        <v>0</v>
      </c>
      <c r="AC30" s="226">
        <v>1</v>
      </c>
      <c r="AD30" s="226" t="s">
        <v>40</v>
      </c>
      <c r="AE30" s="226">
        <v>0</v>
      </c>
      <c r="AF30" s="226">
        <v>1</v>
      </c>
      <c r="AG30" s="226" t="s">
        <v>40</v>
      </c>
      <c r="AH30" s="226">
        <v>0</v>
      </c>
      <c r="AI30" s="226">
        <v>1</v>
      </c>
      <c r="AJ30" s="226">
        <v>0</v>
      </c>
      <c r="AK30" s="226" t="s">
        <v>40</v>
      </c>
      <c r="AL30" s="226">
        <v>0</v>
      </c>
      <c r="AM30" s="226">
        <v>1</v>
      </c>
      <c r="AN30" s="226" t="s">
        <v>98</v>
      </c>
      <c r="AO30" s="237">
        <v>1</v>
      </c>
      <c r="AP30" s="6">
        <f>$O$28</f>
        <v>4</v>
      </c>
      <c r="AQ30" s="226" t="s">
        <v>106</v>
      </c>
      <c r="AR30" s="6" t="str">
        <f t="shared" si="5"/>
        <v>BXX</v>
      </c>
      <c r="AS30" s="226" t="s">
        <v>1</v>
      </c>
      <c r="AT30" s="6" t="str">
        <f>$A$3&amp;".DTY3_STS.AI_CT"</f>
        <v>BXX_DTY1_DP.DTY3_STS.AI_CT</v>
      </c>
      <c r="AU30" s="226" t="s">
        <v>0</v>
      </c>
      <c r="AV30" s="6" t="str">
        <f t="shared" si="6"/>
        <v>Station Pump Duty Pump 3</v>
      </c>
      <c r="AW30" s="226">
        <v>0</v>
      </c>
      <c r="AX30" s="226">
        <v>0</v>
      </c>
      <c r="AY30" s="226">
        <v>0</v>
      </c>
      <c r="AZ30" s="226">
        <v>0</v>
      </c>
      <c r="BA30" s="226">
        <v>0</v>
      </c>
      <c r="BB30" s="226">
        <v>0</v>
      </c>
      <c r="BC30" s="226">
        <v>0</v>
      </c>
      <c r="BD30" s="226">
        <v>0</v>
      </c>
    </row>
    <row r="31" spans="1:64" x14ac:dyDescent="0.25">
      <c r="A31" s="3" t="str">
        <f>$A$3&amp;"4_AI_CT"</f>
        <v>BXX_DTY1_DP4_AI_CT</v>
      </c>
      <c r="B31" s="6" t="str">
        <f t="shared" si="7"/>
        <v>BXX_DTY1_DP</v>
      </c>
      <c r="C31" s="6" t="str">
        <f>$C$3 &amp; " Pump 4"</f>
        <v>Station Pump Duty Pump 4</v>
      </c>
      <c r="D31" s="4">
        <f t="shared" si="1"/>
        <v>24</v>
      </c>
      <c r="E31" s="226" t="s">
        <v>1</v>
      </c>
      <c r="F31" s="226" t="s">
        <v>0</v>
      </c>
      <c r="G31" s="2">
        <v>700</v>
      </c>
      <c r="H31" s="239" t="s">
        <v>0</v>
      </c>
      <c r="I31" s="226" t="s">
        <v>1</v>
      </c>
      <c r="J31" s="226">
        <v>0</v>
      </c>
      <c r="K31" s="226">
        <v>0</v>
      </c>
      <c r="L31" s="226"/>
      <c r="M31" s="226">
        <v>1</v>
      </c>
      <c r="N31" s="226">
        <v>1</v>
      </c>
      <c r="O31" s="6">
        <f t="shared" si="8"/>
        <v>4</v>
      </c>
      <c r="P31" s="226">
        <v>0</v>
      </c>
      <c r="Q31" s="226">
        <v>0</v>
      </c>
      <c r="R31" s="226" t="s">
        <v>40</v>
      </c>
      <c r="S31" s="226">
        <v>0</v>
      </c>
      <c r="T31" s="226">
        <v>1</v>
      </c>
      <c r="U31" s="226" t="s">
        <v>40</v>
      </c>
      <c r="V31" s="226">
        <v>0</v>
      </c>
      <c r="W31" s="226">
        <v>1</v>
      </c>
      <c r="X31" s="226" t="s">
        <v>40</v>
      </c>
      <c r="Y31" s="226">
        <v>0</v>
      </c>
      <c r="Z31" s="226">
        <v>1</v>
      </c>
      <c r="AA31" s="226" t="s">
        <v>40</v>
      </c>
      <c r="AB31" s="226">
        <v>0</v>
      </c>
      <c r="AC31" s="226">
        <v>1</v>
      </c>
      <c r="AD31" s="226" t="s">
        <v>40</v>
      </c>
      <c r="AE31" s="226">
        <v>0</v>
      </c>
      <c r="AF31" s="226">
        <v>1</v>
      </c>
      <c r="AG31" s="226" t="s">
        <v>40</v>
      </c>
      <c r="AH31" s="226">
        <v>0</v>
      </c>
      <c r="AI31" s="226">
        <v>1</v>
      </c>
      <c r="AJ31" s="226">
        <v>0</v>
      </c>
      <c r="AK31" s="226" t="s">
        <v>40</v>
      </c>
      <c r="AL31" s="226">
        <v>0</v>
      </c>
      <c r="AM31" s="226">
        <v>1</v>
      </c>
      <c r="AN31" s="226" t="s">
        <v>98</v>
      </c>
      <c r="AO31" s="237">
        <v>1</v>
      </c>
      <c r="AP31" s="6">
        <f>$O$28</f>
        <v>4</v>
      </c>
      <c r="AQ31" s="226" t="s">
        <v>106</v>
      </c>
      <c r="AR31" s="6" t="str">
        <f t="shared" si="5"/>
        <v>BXX</v>
      </c>
      <c r="AS31" s="226" t="s">
        <v>1</v>
      </c>
      <c r="AT31" s="6" t="str">
        <f>$A$3&amp;".DTY4_STS.AI_CT"</f>
        <v>BXX_DTY1_DP.DTY4_STS.AI_CT</v>
      </c>
      <c r="AU31" s="226" t="s">
        <v>0</v>
      </c>
      <c r="AV31" s="6" t="str">
        <f t="shared" si="6"/>
        <v>Station Pump Duty Pump 4</v>
      </c>
      <c r="AW31" s="226">
        <v>0</v>
      </c>
      <c r="AX31" s="226">
        <v>0</v>
      </c>
      <c r="AY31" s="226">
        <v>0</v>
      </c>
      <c r="AZ31" s="226">
        <v>0</v>
      </c>
      <c r="BA31" s="226">
        <v>0</v>
      </c>
      <c r="BB31" s="226">
        <v>0</v>
      </c>
      <c r="BC31" s="226">
        <v>0</v>
      </c>
      <c r="BD31" s="226">
        <v>0</v>
      </c>
      <c r="BE31" s="226"/>
    </row>
    <row r="32" spans="1:64" x14ac:dyDescent="0.25">
      <c r="A32" s="6" t="str">
        <f>$A$3&amp;"1_AI_TY"</f>
        <v>BXX_DTY1_DP1_AI_TY</v>
      </c>
      <c r="B32" s="6" t="str">
        <f t="shared" si="7"/>
        <v>BXX_DTY1_DP</v>
      </c>
      <c r="C32" s="6" t="str">
        <f>$C$3 &amp; " Days Remaining"</f>
        <v>Station Pump Duty Days Remaining</v>
      </c>
      <c r="D32" s="4">
        <f t="shared" si="1"/>
        <v>32</v>
      </c>
      <c r="E32" s="226" t="s">
        <v>1</v>
      </c>
      <c r="F32" s="226" t="s">
        <v>0</v>
      </c>
      <c r="G32" s="2">
        <v>700</v>
      </c>
      <c r="H32" s="239" t="s">
        <v>0</v>
      </c>
      <c r="I32" s="226" t="s">
        <v>1</v>
      </c>
      <c r="J32" s="226">
        <v>0</v>
      </c>
      <c r="K32" s="226">
        <v>0</v>
      </c>
      <c r="L32" s="226" t="s">
        <v>477</v>
      </c>
      <c r="M32" s="226">
        <v>0</v>
      </c>
      <c r="N32" s="226">
        <v>0</v>
      </c>
      <c r="O32" s="226">
        <v>10</v>
      </c>
      <c r="P32" s="226">
        <v>0</v>
      </c>
      <c r="Q32" s="226">
        <v>0</v>
      </c>
      <c r="R32" s="226" t="s">
        <v>40</v>
      </c>
      <c r="S32" s="226">
        <v>0</v>
      </c>
      <c r="T32" s="226">
        <v>1</v>
      </c>
      <c r="U32" s="226" t="s">
        <v>40</v>
      </c>
      <c r="V32" s="226">
        <v>0</v>
      </c>
      <c r="W32" s="226">
        <v>1</v>
      </c>
      <c r="X32" s="226" t="s">
        <v>40</v>
      </c>
      <c r="Y32" s="226">
        <v>0</v>
      </c>
      <c r="Z32" s="226">
        <v>1</v>
      </c>
      <c r="AA32" s="226" t="s">
        <v>40</v>
      </c>
      <c r="AB32" s="226">
        <v>0</v>
      </c>
      <c r="AC32" s="226">
        <v>1</v>
      </c>
      <c r="AD32" s="226" t="s">
        <v>40</v>
      </c>
      <c r="AE32" s="226">
        <v>0</v>
      </c>
      <c r="AF32" s="226">
        <v>1</v>
      </c>
      <c r="AG32" s="226" t="s">
        <v>40</v>
      </c>
      <c r="AH32" s="226">
        <v>0</v>
      </c>
      <c r="AI32" s="226">
        <v>1</v>
      </c>
      <c r="AJ32" s="226">
        <v>0</v>
      </c>
      <c r="AK32" s="226" t="s">
        <v>40</v>
      </c>
      <c r="AL32" s="226">
        <v>0</v>
      </c>
      <c r="AM32" s="226">
        <v>1</v>
      </c>
      <c r="AN32" s="226" t="s">
        <v>98</v>
      </c>
      <c r="AO32" s="226">
        <v>0</v>
      </c>
      <c r="AP32" s="226">
        <v>10</v>
      </c>
      <c r="AQ32" s="226" t="s">
        <v>106</v>
      </c>
      <c r="AR32" s="6" t="str">
        <f t="shared" si="5"/>
        <v>BXX</v>
      </c>
      <c r="AS32" s="226" t="s">
        <v>1</v>
      </c>
      <c r="AT32" s="6" t="str">
        <f>$A$3&amp;".AI_TY"</f>
        <v>BXX_DTY1_DP.AI_TY</v>
      </c>
      <c r="AU32" s="226" t="s">
        <v>0</v>
      </c>
      <c r="AV32" s="6" t="str">
        <f t="shared" si="6"/>
        <v>Station Pump Duty Days Remaining</v>
      </c>
      <c r="AW32" s="226">
        <v>0</v>
      </c>
      <c r="AX32" s="226">
        <v>0</v>
      </c>
      <c r="AY32" s="226">
        <v>0</v>
      </c>
      <c r="AZ32" s="226">
        <v>0</v>
      </c>
      <c r="BA32" s="226">
        <v>0</v>
      </c>
      <c r="BB32" s="226">
        <v>0</v>
      </c>
      <c r="BC32" s="226">
        <v>0</v>
      </c>
      <c r="BD32" s="226">
        <v>0</v>
      </c>
      <c r="BE32" s="226"/>
    </row>
    <row r="33" spans="1:64" x14ac:dyDescent="0.25">
      <c r="A33" s="6" t="str">
        <f>$A$3&amp;"1_AO_EN"</f>
        <v>BXX_DTY1_DP1_AO_EN</v>
      </c>
      <c r="B33" s="6" t="str">
        <f t="shared" si="7"/>
        <v>BXX_DTY1_DP</v>
      </c>
      <c r="C33" s="6" t="str">
        <f>$C$3 &amp; " Rotation Mode"</f>
        <v>Station Pump Duty Rotation Mode</v>
      </c>
      <c r="D33" s="4">
        <f t="shared" si="1"/>
        <v>31</v>
      </c>
      <c r="E33" s="226" t="s">
        <v>1</v>
      </c>
      <c r="F33" s="226" t="s">
        <v>0</v>
      </c>
      <c r="G33" s="2">
        <v>700</v>
      </c>
      <c r="H33" s="239" t="s">
        <v>0</v>
      </c>
      <c r="I33" s="226" t="s">
        <v>1</v>
      </c>
      <c r="J33" s="226">
        <v>0</v>
      </c>
      <c r="K33" s="226">
        <v>0</v>
      </c>
      <c r="L33" s="226"/>
      <c r="M33" s="226">
        <v>0</v>
      </c>
      <c r="N33" s="226">
        <v>0</v>
      </c>
      <c r="O33" s="226">
        <v>3</v>
      </c>
      <c r="P33" s="226">
        <v>0</v>
      </c>
      <c r="Q33" s="226">
        <v>0</v>
      </c>
      <c r="R33" s="226" t="s">
        <v>40</v>
      </c>
      <c r="S33" s="226">
        <v>0</v>
      </c>
      <c r="T33" s="226">
        <v>1</v>
      </c>
      <c r="U33" s="226" t="s">
        <v>40</v>
      </c>
      <c r="V33" s="226">
        <v>0</v>
      </c>
      <c r="W33" s="226">
        <v>1</v>
      </c>
      <c r="X33" s="226" t="s">
        <v>40</v>
      </c>
      <c r="Y33" s="226">
        <v>0</v>
      </c>
      <c r="Z33" s="226">
        <v>1</v>
      </c>
      <c r="AA33" s="226" t="s">
        <v>40</v>
      </c>
      <c r="AB33" s="226">
        <v>0</v>
      </c>
      <c r="AC33" s="226">
        <v>1</v>
      </c>
      <c r="AD33" s="226" t="s">
        <v>40</v>
      </c>
      <c r="AE33" s="226">
        <v>0</v>
      </c>
      <c r="AF33" s="226">
        <v>1</v>
      </c>
      <c r="AG33" s="226" t="s">
        <v>40</v>
      </c>
      <c r="AH33" s="226">
        <v>0</v>
      </c>
      <c r="AI33" s="226">
        <v>1</v>
      </c>
      <c r="AJ33" s="226">
        <v>0</v>
      </c>
      <c r="AK33" s="226" t="s">
        <v>40</v>
      </c>
      <c r="AL33" s="226">
        <v>0</v>
      </c>
      <c r="AM33" s="226">
        <v>1</v>
      </c>
      <c r="AN33" s="226" t="s">
        <v>98</v>
      </c>
      <c r="AO33" s="226">
        <v>0</v>
      </c>
      <c r="AP33" s="226">
        <v>3</v>
      </c>
      <c r="AQ33" s="226" t="s">
        <v>106</v>
      </c>
      <c r="AR33" s="6" t="str">
        <f t="shared" si="5"/>
        <v>BXX</v>
      </c>
      <c r="AS33" s="226" t="s">
        <v>1</v>
      </c>
      <c r="AT33" s="6" t="str">
        <f>$A$3&amp;".AO_EN"</f>
        <v>BXX_DTY1_DP.AO_EN</v>
      </c>
      <c r="AU33" s="226" t="s">
        <v>1</v>
      </c>
      <c r="AV33" s="6" t="str">
        <f t="shared" si="6"/>
        <v>Station Pump Duty Rotation Mode</v>
      </c>
      <c r="AW33" s="226">
        <v>0</v>
      </c>
      <c r="AX33" s="226">
        <v>0</v>
      </c>
      <c r="AY33" s="226">
        <v>0</v>
      </c>
      <c r="AZ33" s="226">
        <v>0</v>
      </c>
      <c r="BA33" s="226">
        <v>0</v>
      </c>
      <c r="BB33" s="226">
        <v>0</v>
      </c>
      <c r="BC33" s="226">
        <v>0</v>
      </c>
      <c r="BD33" s="226">
        <v>0</v>
      </c>
      <c r="BE33" s="226"/>
    </row>
    <row r="34" spans="1:64" x14ac:dyDescent="0.25">
      <c r="A34" s="6" t="str">
        <f>$A$3&amp;"1_AO_CT"</f>
        <v>BXX_DTY1_DP1_AO_CT</v>
      </c>
      <c r="B34" s="6" t="str">
        <f t="shared" si="7"/>
        <v>BXX_DTY1_DP</v>
      </c>
      <c r="C34" s="6" t="str">
        <f>$C$3 &amp; " Pump 1 Entry"</f>
        <v>Station Pump Duty Pump 1 Entry</v>
      </c>
      <c r="D34" s="4">
        <f t="shared" si="1"/>
        <v>30</v>
      </c>
      <c r="E34" s="226" t="s">
        <v>1</v>
      </c>
      <c r="F34" s="239" t="s">
        <v>0</v>
      </c>
      <c r="G34" s="2">
        <v>700</v>
      </c>
      <c r="H34" s="239" t="s">
        <v>0</v>
      </c>
      <c r="I34" s="226" t="s">
        <v>1</v>
      </c>
      <c r="J34" s="226">
        <v>0</v>
      </c>
      <c r="K34" s="226">
        <v>0</v>
      </c>
      <c r="L34" s="226"/>
      <c r="M34" s="226">
        <v>1</v>
      </c>
      <c r="N34" s="226">
        <v>1</v>
      </c>
      <c r="O34" s="6">
        <f t="shared" ref="O34:O37" si="9">$O$28</f>
        <v>4</v>
      </c>
      <c r="P34" s="226">
        <v>0</v>
      </c>
      <c r="Q34" s="226">
        <v>0</v>
      </c>
      <c r="R34" s="226" t="s">
        <v>40</v>
      </c>
      <c r="S34" s="226">
        <v>0</v>
      </c>
      <c r="T34" s="226">
        <v>1</v>
      </c>
      <c r="U34" s="226" t="s">
        <v>40</v>
      </c>
      <c r="V34" s="226">
        <v>0</v>
      </c>
      <c r="W34" s="226">
        <v>1</v>
      </c>
      <c r="X34" s="226" t="s">
        <v>40</v>
      </c>
      <c r="Y34" s="226">
        <v>0</v>
      </c>
      <c r="Z34" s="226">
        <v>1</v>
      </c>
      <c r="AA34" s="226" t="s">
        <v>40</v>
      </c>
      <c r="AB34" s="226">
        <v>0</v>
      </c>
      <c r="AC34" s="226">
        <v>1</v>
      </c>
      <c r="AD34" s="226" t="s">
        <v>40</v>
      </c>
      <c r="AE34" s="226">
        <v>0</v>
      </c>
      <c r="AF34" s="226">
        <v>1</v>
      </c>
      <c r="AG34" s="226" t="s">
        <v>40</v>
      </c>
      <c r="AH34" s="226">
        <v>0</v>
      </c>
      <c r="AI34" s="226">
        <v>1</v>
      </c>
      <c r="AJ34" s="226">
        <v>0</v>
      </c>
      <c r="AK34" s="226" t="s">
        <v>40</v>
      </c>
      <c r="AL34" s="226">
        <v>0</v>
      </c>
      <c r="AM34" s="226">
        <v>1</v>
      </c>
      <c r="AN34" s="226" t="s">
        <v>98</v>
      </c>
      <c r="AO34" s="237">
        <v>1</v>
      </c>
      <c r="AP34" s="6">
        <f>$O$28</f>
        <v>4</v>
      </c>
      <c r="AQ34" s="226" t="s">
        <v>106</v>
      </c>
      <c r="AR34" s="6" t="str">
        <f t="shared" si="5"/>
        <v>BXX</v>
      </c>
      <c r="AS34" s="226" t="s">
        <v>1</v>
      </c>
      <c r="AT34" s="6" t="str">
        <f>$A$3&amp;".DTY1_STS.AO_CT"</f>
        <v>BXX_DTY1_DP.DTY1_STS.AO_CT</v>
      </c>
      <c r="AU34" s="226" t="s">
        <v>1</v>
      </c>
      <c r="AV34" s="6" t="str">
        <f t="shared" si="6"/>
        <v>Station Pump Duty Pump 1 Entry</v>
      </c>
      <c r="AW34" s="226">
        <v>0</v>
      </c>
      <c r="AX34" s="226">
        <v>0</v>
      </c>
      <c r="AY34" s="226">
        <v>0</v>
      </c>
      <c r="AZ34" s="226">
        <v>0</v>
      </c>
      <c r="BA34" s="226">
        <v>0</v>
      </c>
      <c r="BB34" s="226">
        <v>0</v>
      </c>
      <c r="BC34" s="226">
        <v>0</v>
      </c>
      <c r="BD34" s="226">
        <v>0</v>
      </c>
      <c r="BE34" s="226"/>
    </row>
    <row r="35" spans="1:64" x14ac:dyDescent="0.25">
      <c r="A35" s="6" t="str">
        <f>$A$3&amp;"2_AO_CT"</f>
        <v>BXX_DTY1_DP2_AO_CT</v>
      </c>
      <c r="B35" s="6" t="str">
        <f t="shared" si="7"/>
        <v>BXX_DTY1_DP</v>
      </c>
      <c r="C35" s="6" t="str">
        <f>$C$3 &amp; " Pump 2 Entry"</f>
        <v>Station Pump Duty Pump 2 Entry</v>
      </c>
      <c r="D35" s="4">
        <f t="shared" si="1"/>
        <v>30</v>
      </c>
      <c r="E35" s="226" t="s">
        <v>1</v>
      </c>
      <c r="F35" s="239" t="s">
        <v>0</v>
      </c>
      <c r="G35" s="2">
        <v>700</v>
      </c>
      <c r="H35" s="239" t="s">
        <v>0</v>
      </c>
      <c r="I35" s="226" t="s">
        <v>1</v>
      </c>
      <c r="J35" s="226">
        <v>0</v>
      </c>
      <c r="K35" s="226">
        <v>0</v>
      </c>
      <c r="L35" s="226"/>
      <c r="M35" s="226">
        <v>1</v>
      </c>
      <c r="N35" s="226">
        <v>1</v>
      </c>
      <c r="O35" s="6">
        <f t="shared" si="9"/>
        <v>4</v>
      </c>
      <c r="P35" s="226">
        <v>0</v>
      </c>
      <c r="Q35" s="226">
        <v>0</v>
      </c>
      <c r="R35" s="226" t="s">
        <v>40</v>
      </c>
      <c r="S35" s="226">
        <v>0</v>
      </c>
      <c r="T35" s="226">
        <v>1</v>
      </c>
      <c r="U35" s="226" t="s">
        <v>40</v>
      </c>
      <c r="V35" s="226">
        <v>0</v>
      </c>
      <c r="W35" s="226">
        <v>1</v>
      </c>
      <c r="X35" s="226" t="s">
        <v>40</v>
      </c>
      <c r="Y35" s="226">
        <v>0</v>
      </c>
      <c r="Z35" s="226">
        <v>1</v>
      </c>
      <c r="AA35" s="226" t="s">
        <v>40</v>
      </c>
      <c r="AB35" s="226">
        <v>0</v>
      </c>
      <c r="AC35" s="226">
        <v>1</v>
      </c>
      <c r="AD35" s="226" t="s">
        <v>40</v>
      </c>
      <c r="AE35" s="226">
        <v>0</v>
      </c>
      <c r="AF35" s="226">
        <v>1</v>
      </c>
      <c r="AG35" s="226" t="s">
        <v>40</v>
      </c>
      <c r="AH35" s="226">
        <v>0</v>
      </c>
      <c r="AI35" s="226">
        <v>1</v>
      </c>
      <c r="AJ35" s="226">
        <v>0</v>
      </c>
      <c r="AK35" s="226" t="s">
        <v>40</v>
      </c>
      <c r="AL35" s="226">
        <v>0</v>
      </c>
      <c r="AM35" s="226">
        <v>1</v>
      </c>
      <c r="AN35" s="226" t="s">
        <v>98</v>
      </c>
      <c r="AO35" s="237">
        <v>1</v>
      </c>
      <c r="AP35" s="6">
        <f>$O$28</f>
        <v>4</v>
      </c>
      <c r="AQ35" s="226" t="s">
        <v>106</v>
      </c>
      <c r="AR35" s="6" t="str">
        <f t="shared" si="5"/>
        <v>BXX</v>
      </c>
      <c r="AS35" s="226" t="s">
        <v>1</v>
      </c>
      <c r="AT35" s="6" t="str">
        <f>$A$3&amp;".DTY2_STS.AO_CT"</f>
        <v>BXX_DTY1_DP.DTY2_STS.AO_CT</v>
      </c>
      <c r="AU35" s="226" t="s">
        <v>1</v>
      </c>
      <c r="AV35" s="6" t="str">
        <f t="shared" si="6"/>
        <v>Station Pump Duty Pump 2 Entry</v>
      </c>
      <c r="AW35" s="226">
        <v>0</v>
      </c>
      <c r="AX35" s="226">
        <v>0</v>
      </c>
      <c r="AY35" s="226">
        <v>0</v>
      </c>
      <c r="AZ35" s="226">
        <v>0</v>
      </c>
      <c r="BA35" s="226">
        <v>0</v>
      </c>
      <c r="BB35" s="226">
        <v>0</v>
      </c>
      <c r="BC35" s="226">
        <v>0</v>
      </c>
      <c r="BD35" s="226">
        <v>0</v>
      </c>
      <c r="BE35" s="226"/>
    </row>
    <row r="36" spans="1:64" x14ac:dyDescent="0.25">
      <c r="A36" s="3" t="str">
        <f>$A$3&amp;"3_AO_CT"</f>
        <v>BXX_DTY1_DP3_AO_CT</v>
      </c>
      <c r="B36" s="6" t="str">
        <f t="shared" si="7"/>
        <v>BXX_DTY1_DP</v>
      </c>
      <c r="C36" s="6" t="str">
        <f>$C$3 &amp; " Pump 3 Entry"</f>
        <v>Station Pump Duty Pump 3 Entry</v>
      </c>
      <c r="D36" s="4">
        <f t="shared" si="1"/>
        <v>30</v>
      </c>
      <c r="E36" s="226" t="s">
        <v>1</v>
      </c>
      <c r="F36" s="239" t="s">
        <v>0</v>
      </c>
      <c r="G36" s="2">
        <v>700</v>
      </c>
      <c r="H36" s="239" t="s">
        <v>0</v>
      </c>
      <c r="I36" s="226" t="s">
        <v>1</v>
      </c>
      <c r="J36" s="226">
        <v>0</v>
      </c>
      <c r="K36" s="226">
        <v>0</v>
      </c>
      <c r="L36" s="226"/>
      <c r="M36" s="226">
        <v>1</v>
      </c>
      <c r="N36" s="226">
        <v>1</v>
      </c>
      <c r="O36" s="6">
        <f t="shared" si="9"/>
        <v>4</v>
      </c>
      <c r="P36" s="226">
        <v>0</v>
      </c>
      <c r="Q36" s="226">
        <v>0</v>
      </c>
      <c r="R36" s="226" t="s">
        <v>40</v>
      </c>
      <c r="S36" s="226">
        <v>0</v>
      </c>
      <c r="T36" s="226">
        <v>1</v>
      </c>
      <c r="U36" s="226" t="s">
        <v>40</v>
      </c>
      <c r="V36" s="226">
        <v>0</v>
      </c>
      <c r="W36" s="226">
        <v>1</v>
      </c>
      <c r="X36" s="226" t="s">
        <v>40</v>
      </c>
      <c r="Y36" s="226">
        <v>0</v>
      </c>
      <c r="Z36" s="226">
        <v>1</v>
      </c>
      <c r="AA36" s="226" t="s">
        <v>40</v>
      </c>
      <c r="AB36" s="226">
        <v>0</v>
      </c>
      <c r="AC36" s="226">
        <v>1</v>
      </c>
      <c r="AD36" s="226" t="s">
        <v>40</v>
      </c>
      <c r="AE36" s="226">
        <v>0</v>
      </c>
      <c r="AF36" s="226">
        <v>1</v>
      </c>
      <c r="AG36" s="226" t="s">
        <v>40</v>
      </c>
      <c r="AH36" s="226">
        <v>0</v>
      </c>
      <c r="AI36" s="226">
        <v>1</v>
      </c>
      <c r="AJ36" s="226">
        <v>0</v>
      </c>
      <c r="AK36" s="226" t="s">
        <v>40</v>
      </c>
      <c r="AL36" s="226">
        <v>0</v>
      </c>
      <c r="AM36" s="226">
        <v>1</v>
      </c>
      <c r="AN36" s="226" t="s">
        <v>98</v>
      </c>
      <c r="AO36" s="237">
        <v>1</v>
      </c>
      <c r="AP36" s="6">
        <f>$O$28</f>
        <v>4</v>
      </c>
      <c r="AQ36" s="226" t="s">
        <v>106</v>
      </c>
      <c r="AR36" s="6" t="str">
        <f t="shared" si="5"/>
        <v>BXX</v>
      </c>
      <c r="AS36" s="226" t="s">
        <v>1</v>
      </c>
      <c r="AT36" s="6" t="str">
        <f>$A$3&amp;".DTY3_STS.AO_CT"</f>
        <v>BXX_DTY1_DP.DTY3_STS.AO_CT</v>
      </c>
      <c r="AU36" s="226" t="s">
        <v>1</v>
      </c>
      <c r="AV36" s="6" t="str">
        <f t="shared" si="6"/>
        <v>Station Pump Duty Pump 3 Entry</v>
      </c>
      <c r="AW36" s="226">
        <v>0</v>
      </c>
      <c r="AX36" s="226">
        <v>0</v>
      </c>
      <c r="AY36" s="226">
        <v>0</v>
      </c>
      <c r="AZ36" s="226">
        <v>0</v>
      </c>
      <c r="BA36" s="226">
        <v>0</v>
      </c>
      <c r="BB36" s="226">
        <v>0</v>
      </c>
      <c r="BC36" s="226">
        <v>0</v>
      </c>
      <c r="BD36" s="226">
        <v>0</v>
      </c>
      <c r="BE36" s="226"/>
    </row>
    <row r="37" spans="1:64" x14ac:dyDescent="0.25">
      <c r="A37" s="3" t="str">
        <f>$A$3&amp;"4_AO_CT"</f>
        <v>BXX_DTY1_DP4_AO_CT</v>
      </c>
      <c r="B37" s="6" t="str">
        <f t="shared" si="7"/>
        <v>BXX_DTY1_DP</v>
      </c>
      <c r="C37" s="6" t="str">
        <f>$C$3 &amp; " Pump 4 Entry"</f>
        <v>Station Pump Duty Pump 4 Entry</v>
      </c>
      <c r="D37" s="4">
        <f t="shared" si="1"/>
        <v>30</v>
      </c>
      <c r="E37" s="226" t="s">
        <v>1</v>
      </c>
      <c r="F37" s="239" t="s">
        <v>0</v>
      </c>
      <c r="G37" s="2">
        <v>700</v>
      </c>
      <c r="H37" s="239" t="s">
        <v>0</v>
      </c>
      <c r="I37" s="226" t="s">
        <v>1</v>
      </c>
      <c r="J37" s="226">
        <v>0</v>
      </c>
      <c r="K37" s="226">
        <v>0</v>
      </c>
      <c r="L37" s="226"/>
      <c r="M37" s="226">
        <v>1</v>
      </c>
      <c r="N37" s="226">
        <v>1</v>
      </c>
      <c r="O37" s="6">
        <f t="shared" si="9"/>
        <v>4</v>
      </c>
      <c r="P37" s="226">
        <v>0</v>
      </c>
      <c r="Q37" s="226">
        <v>0</v>
      </c>
      <c r="R37" s="226" t="s">
        <v>40</v>
      </c>
      <c r="S37" s="226">
        <v>0</v>
      </c>
      <c r="T37" s="226">
        <v>1</v>
      </c>
      <c r="U37" s="226" t="s">
        <v>40</v>
      </c>
      <c r="V37" s="226">
        <v>0</v>
      </c>
      <c r="W37" s="226">
        <v>1</v>
      </c>
      <c r="X37" s="226" t="s">
        <v>40</v>
      </c>
      <c r="Y37" s="226">
        <v>0</v>
      </c>
      <c r="Z37" s="226">
        <v>1</v>
      </c>
      <c r="AA37" s="226" t="s">
        <v>40</v>
      </c>
      <c r="AB37" s="226">
        <v>0</v>
      </c>
      <c r="AC37" s="226">
        <v>1</v>
      </c>
      <c r="AD37" s="226" t="s">
        <v>40</v>
      </c>
      <c r="AE37" s="226">
        <v>0</v>
      </c>
      <c r="AF37" s="226">
        <v>1</v>
      </c>
      <c r="AG37" s="226" t="s">
        <v>40</v>
      </c>
      <c r="AH37" s="226">
        <v>0</v>
      </c>
      <c r="AI37" s="226">
        <v>1</v>
      </c>
      <c r="AJ37" s="226">
        <v>0</v>
      </c>
      <c r="AK37" s="226" t="s">
        <v>40</v>
      </c>
      <c r="AL37" s="226">
        <v>0</v>
      </c>
      <c r="AM37" s="226">
        <v>1</v>
      </c>
      <c r="AN37" s="226" t="s">
        <v>98</v>
      </c>
      <c r="AO37" s="237">
        <v>1</v>
      </c>
      <c r="AP37" s="6">
        <f>$O$28</f>
        <v>4</v>
      </c>
      <c r="AQ37" s="226" t="s">
        <v>106</v>
      </c>
      <c r="AR37" s="6" t="str">
        <f t="shared" si="5"/>
        <v>BXX</v>
      </c>
      <c r="AS37" s="226" t="s">
        <v>1</v>
      </c>
      <c r="AT37" s="6" t="str">
        <f>$A$3&amp;".DTY4_STS.AO_CT"</f>
        <v>BXX_DTY1_DP.DTY4_STS.AO_CT</v>
      </c>
      <c r="AU37" s="226" t="s">
        <v>1</v>
      </c>
      <c r="AV37" s="6" t="str">
        <f t="shared" si="6"/>
        <v>Station Pump Duty Pump 4 Entry</v>
      </c>
      <c r="AW37" s="226">
        <v>0</v>
      </c>
      <c r="AX37" s="226">
        <v>0</v>
      </c>
      <c r="AY37" s="226">
        <v>0</v>
      </c>
      <c r="AZ37" s="226">
        <v>0</v>
      </c>
      <c r="BA37" s="226">
        <v>0</v>
      </c>
      <c r="BB37" s="226">
        <v>0</v>
      </c>
      <c r="BC37" s="226">
        <v>0</v>
      </c>
      <c r="BD37" s="226">
        <v>0</v>
      </c>
      <c r="BE37" s="226"/>
    </row>
    <row r="38" spans="1:64" x14ac:dyDescent="0.25">
      <c r="A38" s="6" t="str">
        <f>$A$3&amp;"1_AO_DY"</f>
        <v>BXX_DTY1_DP1_AO_DY</v>
      </c>
      <c r="B38" s="6" t="str">
        <f t="shared" si="7"/>
        <v>BXX_DTY1_DP</v>
      </c>
      <c r="C38" s="6" t="str">
        <f>$C$3 &amp; " Rotation Daily Interval"</f>
        <v>Station Pump Duty Rotation Daily Interval</v>
      </c>
      <c r="D38" s="4">
        <f>LEN(C38)</f>
        <v>41</v>
      </c>
      <c r="E38" s="229" t="s">
        <v>1</v>
      </c>
      <c r="F38" s="229" t="s">
        <v>0</v>
      </c>
      <c r="G38" s="2">
        <v>900</v>
      </c>
      <c r="H38" s="229" t="s">
        <v>0</v>
      </c>
      <c r="I38" s="229" t="s">
        <v>1</v>
      </c>
      <c r="J38" s="229">
        <v>0</v>
      </c>
      <c r="K38" s="229">
        <v>0</v>
      </c>
      <c r="L38" s="229" t="s">
        <v>440</v>
      </c>
      <c r="M38" s="229">
        <v>1</v>
      </c>
      <c r="N38" s="229">
        <v>1</v>
      </c>
      <c r="O38" s="229">
        <v>10</v>
      </c>
      <c r="P38" s="229">
        <v>0</v>
      </c>
      <c r="Q38" s="229">
        <v>0</v>
      </c>
      <c r="R38" s="229" t="s">
        <v>40</v>
      </c>
      <c r="S38" s="229">
        <v>0</v>
      </c>
      <c r="T38" s="229">
        <v>1</v>
      </c>
      <c r="U38" s="229" t="s">
        <v>40</v>
      </c>
      <c r="V38" s="229">
        <v>0</v>
      </c>
      <c r="W38" s="229">
        <v>1</v>
      </c>
      <c r="X38" s="229" t="s">
        <v>40</v>
      </c>
      <c r="Y38" s="229">
        <v>0</v>
      </c>
      <c r="Z38" s="229">
        <v>1</v>
      </c>
      <c r="AA38" s="229" t="s">
        <v>40</v>
      </c>
      <c r="AB38" s="229">
        <v>0</v>
      </c>
      <c r="AC38" s="229">
        <v>1</v>
      </c>
      <c r="AD38" s="229" t="s">
        <v>40</v>
      </c>
      <c r="AE38" s="229">
        <v>0</v>
      </c>
      <c r="AF38" s="229">
        <v>1</v>
      </c>
      <c r="AG38" s="229" t="s">
        <v>40</v>
      </c>
      <c r="AH38" s="229">
        <v>0</v>
      </c>
      <c r="AI38" s="229">
        <v>1</v>
      </c>
      <c r="AJ38" s="229">
        <v>0</v>
      </c>
      <c r="AK38" s="229" t="s">
        <v>40</v>
      </c>
      <c r="AL38" s="229">
        <v>0</v>
      </c>
      <c r="AM38" s="229">
        <v>1</v>
      </c>
      <c r="AN38" s="229" t="s">
        <v>98</v>
      </c>
      <c r="AO38" s="229">
        <v>1</v>
      </c>
      <c r="AP38" s="229">
        <v>10</v>
      </c>
      <c r="AQ38" s="229" t="s">
        <v>106</v>
      </c>
      <c r="AR38" s="6" t="str">
        <f t="shared" si="5"/>
        <v>BXX</v>
      </c>
      <c r="AS38" s="229" t="s">
        <v>1</v>
      </c>
      <c r="AT38" s="6" t="str">
        <f>$A$3&amp;".AO_DY"</f>
        <v>BXX_DTY1_DP.AO_DY</v>
      </c>
      <c r="AU38" s="229" t="s">
        <v>1</v>
      </c>
      <c r="AV38" s="6" t="str">
        <f>C38</f>
        <v>Station Pump Duty Rotation Daily Interval</v>
      </c>
      <c r="AW38" s="229">
        <v>0</v>
      </c>
      <c r="AX38" s="229">
        <v>0</v>
      </c>
      <c r="AY38" s="229">
        <v>0</v>
      </c>
      <c r="AZ38" s="229">
        <v>0</v>
      </c>
      <c r="BA38" s="229">
        <v>0</v>
      </c>
      <c r="BB38" s="229">
        <v>0</v>
      </c>
      <c r="BC38" s="229">
        <v>0</v>
      </c>
      <c r="BD38" s="229">
        <v>0</v>
      </c>
    </row>
    <row r="39" spans="1:64" x14ac:dyDescent="0.25">
      <c r="A39" s="6" t="str">
        <f>$A$3&amp;"1_AO_HS"</f>
        <v>BXX_DTY1_DP1_AO_HS</v>
      </c>
      <c r="B39" s="6" t="str">
        <f t="shared" si="7"/>
        <v>BXX_DTY1_DP</v>
      </c>
      <c r="C39" s="6" t="str">
        <f>$C$3 &amp; " Rotate Daily At Hour"</f>
        <v>Station Pump Duty Rotate Daily At Hour</v>
      </c>
      <c r="D39" s="4">
        <f>LEN(C39)</f>
        <v>38</v>
      </c>
      <c r="E39" s="229" t="s">
        <v>1</v>
      </c>
      <c r="F39" s="229" t="s">
        <v>0</v>
      </c>
      <c r="G39" s="2">
        <v>900</v>
      </c>
      <c r="H39" s="229" t="s">
        <v>0</v>
      </c>
      <c r="I39" s="229" t="s">
        <v>1</v>
      </c>
      <c r="J39" s="229">
        <v>0</v>
      </c>
      <c r="K39" s="229">
        <v>0</v>
      </c>
      <c r="L39" s="229" t="s">
        <v>441</v>
      </c>
      <c r="M39" s="229">
        <v>0</v>
      </c>
      <c r="N39" s="229">
        <v>0</v>
      </c>
      <c r="O39" s="229">
        <v>23</v>
      </c>
      <c r="P39" s="229">
        <v>0</v>
      </c>
      <c r="Q39" s="229">
        <v>0</v>
      </c>
      <c r="R39" s="229" t="s">
        <v>40</v>
      </c>
      <c r="S39" s="229">
        <v>0</v>
      </c>
      <c r="T39" s="229">
        <v>1</v>
      </c>
      <c r="U39" s="229" t="s">
        <v>40</v>
      </c>
      <c r="V39" s="229">
        <v>0</v>
      </c>
      <c r="W39" s="229">
        <v>1</v>
      </c>
      <c r="X39" s="229" t="s">
        <v>40</v>
      </c>
      <c r="Y39" s="229">
        <v>0</v>
      </c>
      <c r="Z39" s="229">
        <v>1</v>
      </c>
      <c r="AA39" s="229" t="s">
        <v>40</v>
      </c>
      <c r="AB39" s="229">
        <v>0</v>
      </c>
      <c r="AC39" s="229">
        <v>1</v>
      </c>
      <c r="AD39" s="229" t="s">
        <v>40</v>
      </c>
      <c r="AE39" s="229">
        <v>0</v>
      </c>
      <c r="AF39" s="229">
        <v>1</v>
      </c>
      <c r="AG39" s="229" t="s">
        <v>40</v>
      </c>
      <c r="AH39" s="229">
        <v>0</v>
      </c>
      <c r="AI39" s="229">
        <v>1</v>
      </c>
      <c r="AJ39" s="229">
        <v>0</v>
      </c>
      <c r="AK39" s="229" t="s">
        <v>40</v>
      </c>
      <c r="AL39" s="229">
        <v>0</v>
      </c>
      <c r="AM39" s="229">
        <v>1</v>
      </c>
      <c r="AN39" s="229" t="s">
        <v>98</v>
      </c>
      <c r="AO39" s="229">
        <v>0</v>
      </c>
      <c r="AP39" s="229">
        <v>23</v>
      </c>
      <c r="AQ39" s="229" t="s">
        <v>106</v>
      </c>
      <c r="AR39" s="6" t="str">
        <f t="shared" si="5"/>
        <v>BXX</v>
      </c>
      <c r="AS39" s="229" t="s">
        <v>1</v>
      </c>
      <c r="AT39" s="6" t="str">
        <f>$A$3&amp;".AO_HS"</f>
        <v>BXX_DTY1_DP.AO_HS</v>
      </c>
      <c r="AU39" s="229" t="s">
        <v>1</v>
      </c>
      <c r="AV39" s="6" t="str">
        <f>C39</f>
        <v>Station Pump Duty Rotate Daily At Hour</v>
      </c>
      <c r="AW39" s="229">
        <v>0</v>
      </c>
      <c r="AX39" s="229">
        <v>0</v>
      </c>
      <c r="AY39" s="229">
        <v>0</v>
      </c>
      <c r="AZ39" s="229">
        <v>0</v>
      </c>
      <c r="BA39" s="229">
        <v>0</v>
      </c>
      <c r="BB39" s="229">
        <v>0</v>
      </c>
      <c r="BC39" s="229">
        <v>0</v>
      </c>
      <c r="BD39" s="229">
        <v>0</v>
      </c>
    </row>
    <row r="40" spans="1:64" ht="13.15" customHeight="1" x14ac:dyDescent="0.25">
      <c r="A40" s="6" t="str">
        <f>$A$3&amp;"1_AO_MS"</f>
        <v>BXX_DTY1_DP1_AO_MS</v>
      </c>
      <c r="B40" s="6" t="str">
        <f t="shared" si="7"/>
        <v>BXX_DTY1_DP</v>
      </c>
      <c r="C40" s="6" t="str">
        <f>$C$3 &amp; " Rotate Daily At Minute"</f>
        <v>Station Pump Duty Rotate Daily At Minute</v>
      </c>
      <c r="D40" s="4">
        <f>LEN(C40)</f>
        <v>40</v>
      </c>
      <c r="E40" s="229" t="s">
        <v>1</v>
      </c>
      <c r="F40" s="229" t="s">
        <v>0</v>
      </c>
      <c r="G40" s="2">
        <v>900</v>
      </c>
      <c r="H40" s="229" t="s">
        <v>0</v>
      </c>
      <c r="I40" s="229" t="s">
        <v>1</v>
      </c>
      <c r="J40" s="229">
        <v>0</v>
      </c>
      <c r="K40" s="229">
        <v>0</v>
      </c>
      <c r="L40" s="229" t="s">
        <v>442</v>
      </c>
      <c r="M40" s="229">
        <v>0</v>
      </c>
      <c r="N40" s="229">
        <v>0</v>
      </c>
      <c r="O40" s="229">
        <v>59</v>
      </c>
      <c r="P40" s="229">
        <v>0</v>
      </c>
      <c r="Q40" s="229">
        <v>0</v>
      </c>
      <c r="R40" s="229" t="s">
        <v>40</v>
      </c>
      <c r="S40" s="229">
        <v>0</v>
      </c>
      <c r="T40" s="229">
        <v>1</v>
      </c>
      <c r="U40" s="229" t="s">
        <v>40</v>
      </c>
      <c r="V40" s="229">
        <v>0</v>
      </c>
      <c r="W40" s="229">
        <v>1</v>
      </c>
      <c r="X40" s="229" t="s">
        <v>40</v>
      </c>
      <c r="Y40" s="229">
        <v>0</v>
      </c>
      <c r="Z40" s="229">
        <v>1</v>
      </c>
      <c r="AA40" s="229" t="s">
        <v>40</v>
      </c>
      <c r="AB40" s="229">
        <v>0</v>
      </c>
      <c r="AC40" s="229">
        <v>1</v>
      </c>
      <c r="AD40" s="229" t="s">
        <v>40</v>
      </c>
      <c r="AE40" s="229">
        <v>0</v>
      </c>
      <c r="AF40" s="229">
        <v>1</v>
      </c>
      <c r="AG40" s="229" t="s">
        <v>40</v>
      </c>
      <c r="AH40" s="229">
        <v>0</v>
      </c>
      <c r="AI40" s="229">
        <v>1</v>
      </c>
      <c r="AJ40" s="229">
        <v>0</v>
      </c>
      <c r="AK40" s="229" t="s">
        <v>40</v>
      </c>
      <c r="AL40" s="229">
        <v>0</v>
      </c>
      <c r="AM40" s="229">
        <v>1</v>
      </c>
      <c r="AN40" s="229" t="s">
        <v>98</v>
      </c>
      <c r="AO40" s="229">
        <v>0</v>
      </c>
      <c r="AP40" s="229">
        <v>59</v>
      </c>
      <c r="AQ40" s="229" t="s">
        <v>106</v>
      </c>
      <c r="AR40" s="6" t="str">
        <f t="shared" si="5"/>
        <v>BXX</v>
      </c>
      <c r="AS40" s="229" t="s">
        <v>1</v>
      </c>
      <c r="AT40" s="6" t="str">
        <f>$A$3&amp;".AO_MS"</f>
        <v>BXX_DTY1_DP.AO_MS</v>
      </c>
      <c r="AU40" s="229" t="s">
        <v>1</v>
      </c>
      <c r="AV40" s="6" t="str">
        <f>C40</f>
        <v>Station Pump Duty Rotate Daily At Minute</v>
      </c>
      <c r="AW40" s="229">
        <v>0</v>
      </c>
      <c r="AX40" s="229">
        <v>0</v>
      </c>
      <c r="AY40" s="229">
        <v>0</v>
      </c>
      <c r="AZ40" s="229">
        <v>0</v>
      </c>
      <c r="BA40" s="229">
        <v>0</v>
      </c>
      <c r="BB40" s="229">
        <v>0</v>
      </c>
      <c r="BC40" s="229">
        <v>0</v>
      </c>
      <c r="BD40" s="229">
        <v>0</v>
      </c>
    </row>
    <row r="41" spans="1:64" x14ac:dyDescent="0.25">
      <c r="A41" s="6" t="str">
        <f>$A$3&amp;"1_AO_AI"</f>
        <v>BXX_DTY1_DP1_AO_AI</v>
      </c>
      <c r="B41" s="6" t="str">
        <f t="shared" si="7"/>
        <v>BXX_DTY1_DP</v>
      </c>
      <c r="C41" s="6" t="str">
        <f>$C$3 &amp; " Rotation Hourly Interval"</f>
        <v>Station Pump Duty Rotation Hourly Interval</v>
      </c>
      <c r="D41" s="4">
        <f>LEN(C41)</f>
        <v>42</v>
      </c>
      <c r="E41" s="231" t="s">
        <v>1</v>
      </c>
      <c r="F41" s="239" t="s">
        <v>0</v>
      </c>
      <c r="G41" s="2">
        <v>900</v>
      </c>
      <c r="H41" s="231" t="s">
        <v>0</v>
      </c>
      <c r="I41" s="231" t="s">
        <v>1</v>
      </c>
      <c r="J41" s="231">
        <v>0</v>
      </c>
      <c r="K41" s="231">
        <v>0</v>
      </c>
      <c r="L41" s="231" t="s">
        <v>443</v>
      </c>
      <c r="M41" s="231">
        <v>1</v>
      </c>
      <c r="N41" s="231">
        <v>1</v>
      </c>
      <c r="O41" s="231">
        <v>23</v>
      </c>
      <c r="P41" s="231">
        <v>0</v>
      </c>
      <c r="Q41" s="231">
        <v>0</v>
      </c>
      <c r="R41" s="231" t="s">
        <v>40</v>
      </c>
      <c r="S41" s="231">
        <v>0</v>
      </c>
      <c r="T41" s="231">
        <v>1</v>
      </c>
      <c r="U41" s="231" t="s">
        <v>40</v>
      </c>
      <c r="V41" s="231">
        <v>0</v>
      </c>
      <c r="W41" s="231">
        <v>1</v>
      </c>
      <c r="X41" s="231" t="s">
        <v>40</v>
      </c>
      <c r="Y41" s="231">
        <v>0</v>
      </c>
      <c r="Z41" s="231">
        <v>1</v>
      </c>
      <c r="AA41" s="231" t="s">
        <v>40</v>
      </c>
      <c r="AB41" s="231">
        <v>0</v>
      </c>
      <c r="AC41" s="231">
        <v>1</v>
      </c>
      <c r="AD41" s="231" t="s">
        <v>40</v>
      </c>
      <c r="AE41" s="231">
        <v>0</v>
      </c>
      <c r="AF41" s="231">
        <v>1</v>
      </c>
      <c r="AG41" s="231" t="s">
        <v>40</v>
      </c>
      <c r="AH41" s="231">
        <v>0</v>
      </c>
      <c r="AI41" s="231">
        <v>1</v>
      </c>
      <c r="AJ41" s="231">
        <v>0</v>
      </c>
      <c r="AK41" s="231" t="s">
        <v>40</v>
      </c>
      <c r="AL41" s="231">
        <v>0</v>
      </c>
      <c r="AM41" s="231">
        <v>1</v>
      </c>
      <c r="AN41" s="231" t="s">
        <v>98</v>
      </c>
      <c r="AO41" s="231">
        <v>1</v>
      </c>
      <c r="AP41" s="231">
        <v>23</v>
      </c>
      <c r="AQ41" s="231" t="s">
        <v>106</v>
      </c>
      <c r="AR41" s="6" t="str">
        <f t="shared" si="5"/>
        <v>BXX</v>
      </c>
      <c r="AS41" s="231" t="s">
        <v>1</v>
      </c>
      <c r="AT41" s="6" t="str">
        <f>$A$3&amp;".AO_AI"</f>
        <v>BXX_DTY1_DP.AO_AI</v>
      </c>
      <c r="AU41" s="231" t="s">
        <v>1</v>
      </c>
      <c r="AV41" s="6" t="str">
        <f>C41</f>
        <v>Station Pump Duty Rotation Hourly Interval</v>
      </c>
      <c r="AW41" s="231">
        <v>0</v>
      </c>
      <c r="AX41" s="231">
        <v>0</v>
      </c>
      <c r="AY41" s="231">
        <v>0</v>
      </c>
      <c r="AZ41" s="231">
        <v>0</v>
      </c>
      <c r="BA41" s="231">
        <v>0</v>
      </c>
      <c r="BB41" s="231">
        <v>0</v>
      </c>
      <c r="BC41" s="231">
        <v>0</v>
      </c>
      <c r="BD41" s="231">
        <v>0</v>
      </c>
    </row>
    <row r="42" spans="1:64" x14ac:dyDescent="0.25">
      <c r="A42" s="227" t="s">
        <v>107</v>
      </c>
      <c r="B42" s="227" t="s">
        <v>4</v>
      </c>
      <c r="C42" s="227" t="s">
        <v>5</v>
      </c>
      <c r="D42" s="4">
        <f t="shared" ref="D42:D101" si="10">LEN(C42)</f>
        <v>7</v>
      </c>
      <c r="E42" s="227" t="s">
        <v>30</v>
      </c>
      <c r="F42" s="227" t="s">
        <v>6</v>
      </c>
      <c r="G42" s="227" t="s">
        <v>7</v>
      </c>
      <c r="H42" s="227" t="s">
        <v>31</v>
      </c>
      <c r="I42" s="227" t="s">
        <v>66</v>
      </c>
      <c r="J42" s="227" t="s">
        <v>67</v>
      </c>
      <c r="K42" s="227" t="s">
        <v>68</v>
      </c>
      <c r="L42" s="227" t="s">
        <v>69</v>
      </c>
      <c r="M42" s="227" t="s">
        <v>70</v>
      </c>
      <c r="N42" s="227" t="s">
        <v>101</v>
      </c>
      <c r="O42" s="227" t="s">
        <v>102</v>
      </c>
      <c r="P42" s="227" t="s">
        <v>73</v>
      </c>
      <c r="Q42" s="227" t="s">
        <v>74</v>
      </c>
      <c r="R42" s="227" t="s">
        <v>75</v>
      </c>
      <c r="S42" s="227" t="s">
        <v>76</v>
      </c>
      <c r="T42" s="227" t="s">
        <v>77</v>
      </c>
      <c r="U42" s="227" t="s">
        <v>78</v>
      </c>
      <c r="V42" s="227" t="s">
        <v>79</v>
      </c>
      <c r="W42" s="227" t="s">
        <v>80</v>
      </c>
      <c r="X42" s="227" t="s">
        <v>81</v>
      </c>
      <c r="Y42" s="227" t="s">
        <v>82</v>
      </c>
      <c r="Z42" s="227" t="s">
        <v>83</v>
      </c>
      <c r="AA42" s="227" t="s">
        <v>84</v>
      </c>
      <c r="AB42" s="227" t="s">
        <v>85</v>
      </c>
      <c r="AC42" s="227" t="s">
        <v>86</v>
      </c>
      <c r="AD42" s="227" t="s">
        <v>87</v>
      </c>
      <c r="AE42" s="227" t="s">
        <v>88</v>
      </c>
      <c r="AF42" s="227" t="s">
        <v>89</v>
      </c>
      <c r="AG42" s="227" t="s">
        <v>90</v>
      </c>
      <c r="AH42" s="227" t="s">
        <v>91</v>
      </c>
      <c r="AI42" s="227" t="s">
        <v>92</v>
      </c>
      <c r="AJ42" s="227" t="s">
        <v>93</v>
      </c>
      <c r="AK42" s="227" t="s">
        <v>94</v>
      </c>
      <c r="AL42" s="227" t="s">
        <v>95</v>
      </c>
      <c r="AM42" s="227" t="s">
        <v>96</v>
      </c>
      <c r="AN42" s="227" t="s">
        <v>97</v>
      </c>
      <c r="AO42" s="227" t="s">
        <v>103</v>
      </c>
      <c r="AP42" s="227" t="s">
        <v>104</v>
      </c>
      <c r="AQ42" s="227" t="s">
        <v>105</v>
      </c>
      <c r="AR42" s="227" t="s">
        <v>45</v>
      </c>
      <c r="AS42" s="227" t="s">
        <v>46</v>
      </c>
      <c r="AT42" s="227" t="s">
        <v>47</v>
      </c>
      <c r="AU42" s="227" t="s">
        <v>48</v>
      </c>
      <c r="AV42" s="227" t="s">
        <v>37</v>
      </c>
      <c r="AW42" s="227" t="s">
        <v>38</v>
      </c>
      <c r="AX42" s="227" t="s">
        <v>8</v>
      </c>
      <c r="AY42" s="227" t="s">
        <v>9</v>
      </c>
      <c r="AZ42" s="227" t="s">
        <v>10</v>
      </c>
      <c r="BA42" s="227" t="s">
        <v>11</v>
      </c>
      <c r="BB42" s="227" t="s">
        <v>12</v>
      </c>
      <c r="BC42" s="227" t="s">
        <v>13</v>
      </c>
      <c r="BD42" s="227" t="s">
        <v>14</v>
      </c>
      <c r="BE42" s="227" t="s">
        <v>16</v>
      </c>
      <c r="BF42" s="227" t="s">
        <v>17</v>
      </c>
      <c r="BG42" s="227" t="s">
        <v>18</v>
      </c>
      <c r="BH42" s="227" t="s">
        <v>19</v>
      </c>
      <c r="BI42" s="227" t="s">
        <v>20</v>
      </c>
      <c r="BJ42" s="227" t="s">
        <v>21</v>
      </c>
      <c r="BK42" s="227" t="s">
        <v>22</v>
      </c>
      <c r="BL42" s="227" t="s">
        <v>39</v>
      </c>
    </row>
    <row r="43" spans="1:64" x14ac:dyDescent="0.25">
      <c r="A43" s="6" t="str">
        <f>$A$3&amp;"1_AO_TS"</f>
        <v>BXX_DTY1_DP1_AO_TS</v>
      </c>
      <c r="B43" s="6" t="str">
        <f t="shared" si="7"/>
        <v>BXX_DTY1_DP</v>
      </c>
      <c r="C43" s="6" t="str">
        <f>$C$3 &amp; " 1 Start Level Entry"</f>
        <v>Station Pump Duty 1 Start Level Entry</v>
      </c>
      <c r="D43" s="4">
        <f t="shared" si="10"/>
        <v>37</v>
      </c>
      <c r="E43" s="228" t="s">
        <v>1</v>
      </c>
      <c r="F43" s="228" t="s">
        <v>0</v>
      </c>
      <c r="G43" s="2">
        <v>900</v>
      </c>
      <c r="H43" s="228" t="s">
        <v>0</v>
      </c>
      <c r="I43" s="228" t="s">
        <v>1</v>
      </c>
      <c r="J43" s="228">
        <v>0</v>
      </c>
      <c r="K43" s="228">
        <v>0</v>
      </c>
      <c r="L43" s="228" t="s">
        <v>99</v>
      </c>
      <c r="M43" s="228">
        <v>0</v>
      </c>
      <c r="N43" s="228">
        <v>0</v>
      </c>
      <c r="O43" s="228">
        <v>100</v>
      </c>
      <c r="P43" s="228">
        <v>0</v>
      </c>
      <c r="Q43" s="228">
        <v>0</v>
      </c>
      <c r="R43" s="228" t="s">
        <v>40</v>
      </c>
      <c r="S43" s="228">
        <v>0</v>
      </c>
      <c r="T43" s="228">
        <v>1</v>
      </c>
      <c r="U43" s="228" t="s">
        <v>40</v>
      </c>
      <c r="V43" s="228">
        <v>0</v>
      </c>
      <c r="W43" s="228">
        <v>1</v>
      </c>
      <c r="X43" s="228" t="s">
        <v>40</v>
      </c>
      <c r="Y43" s="228">
        <v>0</v>
      </c>
      <c r="Z43" s="228">
        <v>1</v>
      </c>
      <c r="AA43" s="228" t="s">
        <v>40</v>
      </c>
      <c r="AB43" s="228">
        <v>0</v>
      </c>
      <c r="AC43" s="228">
        <v>1</v>
      </c>
      <c r="AD43" s="228" t="s">
        <v>40</v>
      </c>
      <c r="AE43" s="228">
        <v>0</v>
      </c>
      <c r="AF43" s="228">
        <v>1</v>
      </c>
      <c r="AG43" s="228" t="s">
        <v>40</v>
      </c>
      <c r="AH43" s="228">
        <v>0</v>
      </c>
      <c r="AI43" s="228">
        <v>1</v>
      </c>
      <c r="AJ43" s="228">
        <v>0</v>
      </c>
      <c r="AK43" s="228" t="s">
        <v>40</v>
      </c>
      <c r="AL43" s="228">
        <v>0</v>
      </c>
      <c r="AM43" s="228">
        <v>1</v>
      </c>
      <c r="AN43" s="228" t="s">
        <v>98</v>
      </c>
      <c r="AO43" s="228">
        <v>0</v>
      </c>
      <c r="AP43" s="228">
        <v>100</v>
      </c>
      <c r="AQ43" s="228" t="s">
        <v>106</v>
      </c>
      <c r="AR43" s="6" t="str">
        <f t="shared" si="5"/>
        <v>BXX</v>
      </c>
      <c r="AS43" s="228" t="s">
        <v>1</v>
      </c>
      <c r="AT43" s="6" t="str">
        <f>$A$3&amp;".DTY1_STS.AO_TS"</f>
        <v>BXX_DTY1_DP.DTY1_STS.AO_TS</v>
      </c>
      <c r="AU43" s="228" t="s">
        <v>1</v>
      </c>
      <c r="AV43" s="6" t="str">
        <f>C43</f>
        <v>Station Pump Duty 1 Start Level Entry</v>
      </c>
      <c r="AW43" s="228">
        <v>0</v>
      </c>
      <c r="AX43" s="228">
        <v>0</v>
      </c>
      <c r="AY43" s="228">
        <v>0</v>
      </c>
      <c r="AZ43" s="228">
        <v>0</v>
      </c>
      <c r="BA43" s="228">
        <v>0</v>
      </c>
      <c r="BB43" s="228">
        <v>0</v>
      </c>
      <c r="BC43" s="228">
        <v>0</v>
      </c>
      <c r="BD43" s="228">
        <v>0</v>
      </c>
    </row>
    <row r="44" spans="1:64" x14ac:dyDescent="0.25">
      <c r="A44" s="6" t="str">
        <f>$A$3&amp;"2_AO_TS"</f>
        <v>BXX_DTY1_DP2_AO_TS</v>
      </c>
      <c r="B44" s="6" t="str">
        <f t="shared" si="7"/>
        <v>BXX_DTY1_DP</v>
      </c>
      <c r="C44" s="6" t="str">
        <f>$C$3 &amp; " 2 Start Level Entry"</f>
        <v>Station Pump Duty 2 Start Level Entry</v>
      </c>
      <c r="D44" s="4">
        <f t="shared" si="10"/>
        <v>37</v>
      </c>
      <c r="E44" s="228" t="s">
        <v>1</v>
      </c>
      <c r="F44" s="228" t="s">
        <v>0</v>
      </c>
      <c r="G44" s="2">
        <v>900</v>
      </c>
      <c r="H44" s="228" t="s">
        <v>0</v>
      </c>
      <c r="I44" s="228" t="s">
        <v>1</v>
      </c>
      <c r="J44" s="228">
        <v>0</v>
      </c>
      <c r="K44" s="228">
        <v>0</v>
      </c>
      <c r="L44" s="228" t="s">
        <v>99</v>
      </c>
      <c r="M44" s="239">
        <v>0</v>
      </c>
      <c r="N44" s="228">
        <v>0</v>
      </c>
      <c r="O44" s="228">
        <v>100</v>
      </c>
      <c r="P44" s="228">
        <v>0</v>
      </c>
      <c r="Q44" s="228">
        <v>0</v>
      </c>
      <c r="R44" s="228" t="s">
        <v>40</v>
      </c>
      <c r="S44" s="228">
        <v>0</v>
      </c>
      <c r="T44" s="228">
        <v>1</v>
      </c>
      <c r="U44" s="228" t="s">
        <v>40</v>
      </c>
      <c r="V44" s="228">
        <v>0</v>
      </c>
      <c r="W44" s="228">
        <v>1</v>
      </c>
      <c r="X44" s="228" t="s">
        <v>40</v>
      </c>
      <c r="Y44" s="228">
        <v>0</v>
      </c>
      <c r="Z44" s="228">
        <v>1</v>
      </c>
      <c r="AA44" s="228" t="s">
        <v>40</v>
      </c>
      <c r="AB44" s="228">
        <v>0</v>
      </c>
      <c r="AC44" s="228">
        <v>1</v>
      </c>
      <c r="AD44" s="228" t="s">
        <v>40</v>
      </c>
      <c r="AE44" s="228">
        <v>0</v>
      </c>
      <c r="AF44" s="228">
        <v>1</v>
      </c>
      <c r="AG44" s="228" t="s">
        <v>40</v>
      </c>
      <c r="AH44" s="228">
        <v>0</v>
      </c>
      <c r="AI44" s="228">
        <v>1</v>
      </c>
      <c r="AJ44" s="228">
        <v>0</v>
      </c>
      <c r="AK44" s="228" t="s">
        <v>40</v>
      </c>
      <c r="AL44" s="228">
        <v>0</v>
      </c>
      <c r="AM44" s="228">
        <v>1</v>
      </c>
      <c r="AN44" s="228" t="s">
        <v>98</v>
      </c>
      <c r="AO44" s="228">
        <v>0</v>
      </c>
      <c r="AP44" s="228">
        <v>100</v>
      </c>
      <c r="AQ44" s="228" t="s">
        <v>106</v>
      </c>
      <c r="AR44" s="6" t="str">
        <f t="shared" si="5"/>
        <v>BXX</v>
      </c>
      <c r="AS44" s="228" t="s">
        <v>1</v>
      </c>
      <c r="AT44" s="6" t="str">
        <f>$A$3&amp;".DTY2_STS.AO_TS"</f>
        <v>BXX_DTY1_DP.DTY2_STS.AO_TS</v>
      </c>
      <c r="AU44" s="228" t="s">
        <v>1</v>
      </c>
      <c r="AV44" s="6" t="str">
        <f t="shared" ref="AV44:AV74" si="11">C44</f>
        <v>Station Pump Duty 2 Start Level Entry</v>
      </c>
      <c r="AW44" s="228">
        <v>0</v>
      </c>
      <c r="AX44" s="228">
        <v>0</v>
      </c>
      <c r="AY44" s="228">
        <v>0</v>
      </c>
      <c r="AZ44" s="228">
        <v>0</v>
      </c>
      <c r="BA44" s="228">
        <v>0</v>
      </c>
      <c r="BB44" s="228">
        <v>0</v>
      </c>
      <c r="BC44" s="228">
        <v>0</v>
      </c>
      <c r="BD44" s="228">
        <v>0</v>
      </c>
    </row>
    <row r="45" spans="1:64" x14ac:dyDescent="0.25">
      <c r="A45" s="3" t="str">
        <f>$A$3&amp;"3_AO_TS"</f>
        <v>BXX_DTY1_DP3_AO_TS</v>
      </c>
      <c r="B45" s="6" t="str">
        <f t="shared" si="7"/>
        <v>BXX_DTY1_DP</v>
      </c>
      <c r="C45" s="6" t="str">
        <f>$C$3 &amp; " 3 Start Level Entry"</f>
        <v>Station Pump Duty 3 Start Level Entry</v>
      </c>
      <c r="D45" s="4">
        <f t="shared" si="10"/>
        <v>37</v>
      </c>
      <c r="E45" s="230" t="s">
        <v>1</v>
      </c>
      <c r="F45" s="230" t="s">
        <v>0</v>
      </c>
      <c r="G45" s="2">
        <v>900</v>
      </c>
      <c r="H45" s="230" t="s">
        <v>0</v>
      </c>
      <c r="I45" s="230" t="s">
        <v>1</v>
      </c>
      <c r="J45" s="230">
        <v>0</v>
      </c>
      <c r="K45" s="230">
        <v>0</v>
      </c>
      <c r="L45" s="230" t="s">
        <v>99</v>
      </c>
      <c r="M45" s="239">
        <v>0</v>
      </c>
      <c r="N45" s="230">
        <v>0</v>
      </c>
      <c r="O45" s="230">
        <v>100</v>
      </c>
      <c r="P45" s="230">
        <v>0</v>
      </c>
      <c r="Q45" s="230">
        <v>0</v>
      </c>
      <c r="R45" s="230" t="s">
        <v>40</v>
      </c>
      <c r="S45" s="230">
        <v>0</v>
      </c>
      <c r="T45" s="230">
        <v>1</v>
      </c>
      <c r="U45" s="230" t="s">
        <v>40</v>
      </c>
      <c r="V45" s="230">
        <v>0</v>
      </c>
      <c r="W45" s="230">
        <v>1</v>
      </c>
      <c r="X45" s="230" t="s">
        <v>40</v>
      </c>
      <c r="Y45" s="230">
        <v>0</v>
      </c>
      <c r="Z45" s="230">
        <v>1</v>
      </c>
      <c r="AA45" s="230" t="s">
        <v>40</v>
      </c>
      <c r="AB45" s="230">
        <v>0</v>
      </c>
      <c r="AC45" s="230">
        <v>1</v>
      </c>
      <c r="AD45" s="230" t="s">
        <v>40</v>
      </c>
      <c r="AE45" s="230">
        <v>0</v>
      </c>
      <c r="AF45" s="230">
        <v>1</v>
      </c>
      <c r="AG45" s="230" t="s">
        <v>40</v>
      </c>
      <c r="AH45" s="230">
        <v>0</v>
      </c>
      <c r="AI45" s="230">
        <v>1</v>
      </c>
      <c r="AJ45" s="230">
        <v>0</v>
      </c>
      <c r="AK45" s="230" t="s">
        <v>40</v>
      </c>
      <c r="AL45" s="230">
        <v>0</v>
      </c>
      <c r="AM45" s="230">
        <v>1</v>
      </c>
      <c r="AN45" s="230" t="s">
        <v>98</v>
      </c>
      <c r="AO45" s="230">
        <v>0</v>
      </c>
      <c r="AP45" s="230">
        <v>100</v>
      </c>
      <c r="AQ45" s="230" t="s">
        <v>106</v>
      </c>
      <c r="AR45" s="6" t="str">
        <f t="shared" si="5"/>
        <v>BXX</v>
      </c>
      <c r="AS45" s="230" t="s">
        <v>1</v>
      </c>
      <c r="AT45" s="6" t="str">
        <f>$A$3&amp;".DTY3_STS.AO_TS"</f>
        <v>BXX_DTY1_DP.DTY3_STS.AO_TS</v>
      </c>
      <c r="AU45" s="230" t="s">
        <v>1</v>
      </c>
      <c r="AV45" s="6" t="str">
        <f t="shared" si="11"/>
        <v>Station Pump Duty 3 Start Level Entry</v>
      </c>
      <c r="AW45" s="230">
        <v>0</v>
      </c>
      <c r="AX45" s="230">
        <v>0</v>
      </c>
      <c r="AY45" s="230">
        <v>0</v>
      </c>
      <c r="AZ45" s="230">
        <v>0</v>
      </c>
      <c r="BA45" s="230">
        <v>0</v>
      </c>
      <c r="BB45" s="230">
        <v>0</v>
      </c>
      <c r="BC45" s="230">
        <v>0</v>
      </c>
      <c r="BD45" s="230">
        <v>0</v>
      </c>
    </row>
    <row r="46" spans="1:64" x14ac:dyDescent="0.25">
      <c r="A46" s="3" t="str">
        <f>$A$3&amp;"4_AO_TS"</f>
        <v>BXX_DTY1_DP4_AO_TS</v>
      </c>
      <c r="B46" s="6" t="str">
        <f t="shared" si="7"/>
        <v>BXX_DTY1_DP</v>
      </c>
      <c r="C46" s="6" t="str">
        <f>$C$3 &amp; " 4 Start Level Entry"</f>
        <v>Station Pump Duty 4 Start Level Entry</v>
      </c>
      <c r="D46" s="4">
        <f t="shared" si="10"/>
        <v>37</v>
      </c>
      <c r="E46" s="230" t="s">
        <v>1</v>
      </c>
      <c r="F46" s="230" t="s">
        <v>0</v>
      </c>
      <c r="G46" s="2">
        <v>900</v>
      </c>
      <c r="H46" s="230" t="s">
        <v>0</v>
      </c>
      <c r="I46" s="230" t="s">
        <v>1</v>
      </c>
      <c r="J46" s="230">
        <v>0</v>
      </c>
      <c r="K46" s="230">
        <v>0</v>
      </c>
      <c r="L46" s="230" t="s">
        <v>99</v>
      </c>
      <c r="M46" s="239">
        <v>0</v>
      </c>
      <c r="N46" s="230">
        <v>0</v>
      </c>
      <c r="O46" s="230">
        <v>100</v>
      </c>
      <c r="P46" s="230">
        <v>0</v>
      </c>
      <c r="Q46" s="230">
        <v>0</v>
      </c>
      <c r="R46" s="230" t="s">
        <v>40</v>
      </c>
      <c r="S46" s="230">
        <v>0</v>
      </c>
      <c r="T46" s="230">
        <v>1</v>
      </c>
      <c r="U46" s="230" t="s">
        <v>40</v>
      </c>
      <c r="V46" s="230">
        <v>0</v>
      </c>
      <c r="W46" s="230">
        <v>1</v>
      </c>
      <c r="X46" s="230" t="s">
        <v>40</v>
      </c>
      <c r="Y46" s="230">
        <v>0</v>
      </c>
      <c r="Z46" s="230">
        <v>1</v>
      </c>
      <c r="AA46" s="230" t="s">
        <v>40</v>
      </c>
      <c r="AB46" s="230">
        <v>0</v>
      </c>
      <c r="AC46" s="230">
        <v>1</v>
      </c>
      <c r="AD46" s="230" t="s">
        <v>40</v>
      </c>
      <c r="AE46" s="230">
        <v>0</v>
      </c>
      <c r="AF46" s="230">
        <v>1</v>
      </c>
      <c r="AG46" s="230" t="s">
        <v>40</v>
      </c>
      <c r="AH46" s="230">
        <v>0</v>
      </c>
      <c r="AI46" s="230">
        <v>1</v>
      </c>
      <c r="AJ46" s="230">
        <v>0</v>
      </c>
      <c r="AK46" s="230" t="s">
        <v>40</v>
      </c>
      <c r="AL46" s="230">
        <v>0</v>
      </c>
      <c r="AM46" s="230">
        <v>1</v>
      </c>
      <c r="AN46" s="230" t="s">
        <v>98</v>
      </c>
      <c r="AO46" s="230">
        <v>0</v>
      </c>
      <c r="AP46" s="230">
        <v>100</v>
      </c>
      <c r="AQ46" s="230" t="s">
        <v>106</v>
      </c>
      <c r="AR46" s="6" t="str">
        <f t="shared" si="5"/>
        <v>BXX</v>
      </c>
      <c r="AS46" s="230" t="s">
        <v>1</v>
      </c>
      <c r="AT46" s="6" t="str">
        <f>$A$3&amp;".DTY4_STS.AO_TS"</f>
        <v>BXX_DTY1_DP.DTY4_STS.AO_TS</v>
      </c>
      <c r="AU46" s="230" t="s">
        <v>1</v>
      </c>
      <c r="AV46" s="6" t="str">
        <f t="shared" si="11"/>
        <v>Station Pump Duty 4 Start Level Entry</v>
      </c>
      <c r="AW46" s="230">
        <v>0</v>
      </c>
      <c r="AX46" s="230">
        <v>0</v>
      </c>
      <c r="AY46" s="230">
        <v>0</v>
      </c>
      <c r="AZ46" s="230">
        <v>0</v>
      </c>
      <c r="BA46" s="230">
        <v>0</v>
      </c>
      <c r="BB46" s="230">
        <v>0</v>
      </c>
      <c r="BC46" s="230">
        <v>0</v>
      </c>
      <c r="BD46" s="230">
        <v>0</v>
      </c>
    </row>
    <row r="47" spans="1:64" x14ac:dyDescent="0.25">
      <c r="A47" s="6" t="str">
        <f>$A$3&amp;"1_AO_PS"</f>
        <v>BXX_DTY1_DP1_AO_PS</v>
      </c>
      <c r="B47" s="6" t="str">
        <f t="shared" si="7"/>
        <v>BXX_DTY1_DP</v>
      </c>
      <c r="C47" s="6" t="str">
        <f>$C$3 &amp; " 1 Stop Level Entry"</f>
        <v>Station Pump Duty 1 Stop Level Entry</v>
      </c>
      <c r="D47" s="4">
        <f t="shared" si="10"/>
        <v>36</v>
      </c>
      <c r="E47" s="228" t="s">
        <v>1</v>
      </c>
      <c r="F47" s="228" t="s">
        <v>0</v>
      </c>
      <c r="G47" s="2">
        <v>900</v>
      </c>
      <c r="H47" s="228" t="s">
        <v>0</v>
      </c>
      <c r="I47" s="228" t="s">
        <v>1</v>
      </c>
      <c r="J47" s="228">
        <v>0</v>
      </c>
      <c r="K47" s="228">
        <v>0</v>
      </c>
      <c r="L47" s="228" t="s">
        <v>99</v>
      </c>
      <c r="M47" s="239">
        <v>0</v>
      </c>
      <c r="N47" s="228">
        <v>0</v>
      </c>
      <c r="O47" s="228">
        <v>100</v>
      </c>
      <c r="P47" s="228">
        <v>0</v>
      </c>
      <c r="Q47" s="228">
        <v>0</v>
      </c>
      <c r="R47" s="228" t="s">
        <v>40</v>
      </c>
      <c r="S47" s="228">
        <v>0</v>
      </c>
      <c r="T47" s="228">
        <v>1</v>
      </c>
      <c r="U47" s="228" t="s">
        <v>40</v>
      </c>
      <c r="V47" s="228">
        <v>0</v>
      </c>
      <c r="W47" s="228">
        <v>1</v>
      </c>
      <c r="X47" s="228" t="s">
        <v>40</v>
      </c>
      <c r="Y47" s="228">
        <v>0</v>
      </c>
      <c r="Z47" s="228">
        <v>1</v>
      </c>
      <c r="AA47" s="228" t="s">
        <v>40</v>
      </c>
      <c r="AB47" s="228">
        <v>0</v>
      </c>
      <c r="AC47" s="228">
        <v>1</v>
      </c>
      <c r="AD47" s="228" t="s">
        <v>40</v>
      </c>
      <c r="AE47" s="228">
        <v>0</v>
      </c>
      <c r="AF47" s="228">
        <v>1</v>
      </c>
      <c r="AG47" s="228" t="s">
        <v>40</v>
      </c>
      <c r="AH47" s="228">
        <v>0</v>
      </c>
      <c r="AI47" s="228">
        <v>1</v>
      </c>
      <c r="AJ47" s="228">
        <v>0</v>
      </c>
      <c r="AK47" s="228" t="s">
        <v>40</v>
      </c>
      <c r="AL47" s="228">
        <v>0</v>
      </c>
      <c r="AM47" s="228">
        <v>1</v>
      </c>
      <c r="AN47" s="228" t="s">
        <v>98</v>
      </c>
      <c r="AO47" s="228">
        <v>0</v>
      </c>
      <c r="AP47" s="228">
        <v>100</v>
      </c>
      <c r="AQ47" s="228" t="s">
        <v>106</v>
      </c>
      <c r="AR47" s="6" t="str">
        <f t="shared" si="5"/>
        <v>BXX</v>
      </c>
      <c r="AS47" s="228" t="s">
        <v>1</v>
      </c>
      <c r="AT47" s="6" t="str">
        <f>$A$3&amp;".DTY1_STS.AO_PS"</f>
        <v>BXX_DTY1_DP.DTY1_STS.AO_PS</v>
      </c>
      <c r="AU47" s="228" t="s">
        <v>1</v>
      </c>
      <c r="AV47" s="6" t="str">
        <f t="shared" si="11"/>
        <v>Station Pump Duty 1 Stop Level Entry</v>
      </c>
      <c r="AW47" s="228">
        <v>0</v>
      </c>
      <c r="AX47" s="228">
        <v>0</v>
      </c>
      <c r="AY47" s="228">
        <v>0</v>
      </c>
      <c r="AZ47" s="228">
        <v>0</v>
      </c>
      <c r="BA47" s="228">
        <v>0</v>
      </c>
      <c r="BB47" s="228">
        <v>0</v>
      </c>
      <c r="BC47" s="228">
        <v>0</v>
      </c>
      <c r="BD47" s="228">
        <v>0</v>
      </c>
    </row>
    <row r="48" spans="1:64" x14ac:dyDescent="0.25">
      <c r="A48" s="6" t="str">
        <f>$A$3&amp;"2_AO_PS"</f>
        <v>BXX_DTY1_DP2_AO_PS</v>
      </c>
      <c r="B48" s="6" t="str">
        <f t="shared" si="7"/>
        <v>BXX_DTY1_DP</v>
      </c>
      <c r="C48" s="6" t="str">
        <f>$C$3 &amp; " 2 Stop Level Entry"</f>
        <v>Station Pump Duty 2 Stop Level Entry</v>
      </c>
      <c r="D48" s="4">
        <f t="shared" si="10"/>
        <v>36</v>
      </c>
      <c r="E48" s="228" t="s">
        <v>1</v>
      </c>
      <c r="F48" s="228" t="s">
        <v>0</v>
      </c>
      <c r="G48" s="2">
        <v>900</v>
      </c>
      <c r="H48" s="228" t="s">
        <v>0</v>
      </c>
      <c r="I48" s="228" t="s">
        <v>1</v>
      </c>
      <c r="J48" s="228">
        <v>0</v>
      </c>
      <c r="K48" s="228">
        <v>0</v>
      </c>
      <c r="L48" s="239" t="s">
        <v>99</v>
      </c>
      <c r="M48" s="239">
        <v>0</v>
      </c>
      <c r="N48" s="228">
        <v>0</v>
      </c>
      <c r="O48" s="228">
        <v>100</v>
      </c>
      <c r="P48" s="228">
        <v>0</v>
      </c>
      <c r="Q48" s="228">
        <v>0</v>
      </c>
      <c r="R48" s="228" t="s">
        <v>40</v>
      </c>
      <c r="S48" s="228">
        <v>0</v>
      </c>
      <c r="T48" s="228">
        <v>1</v>
      </c>
      <c r="U48" s="228" t="s">
        <v>40</v>
      </c>
      <c r="V48" s="228">
        <v>0</v>
      </c>
      <c r="W48" s="228">
        <v>1</v>
      </c>
      <c r="X48" s="228" t="s">
        <v>40</v>
      </c>
      <c r="Y48" s="228">
        <v>0</v>
      </c>
      <c r="Z48" s="228">
        <v>1</v>
      </c>
      <c r="AA48" s="228" t="s">
        <v>40</v>
      </c>
      <c r="AB48" s="228">
        <v>0</v>
      </c>
      <c r="AC48" s="228">
        <v>1</v>
      </c>
      <c r="AD48" s="228" t="s">
        <v>40</v>
      </c>
      <c r="AE48" s="228">
        <v>0</v>
      </c>
      <c r="AF48" s="228">
        <v>1</v>
      </c>
      <c r="AG48" s="228" t="s">
        <v>40</v>
      </c>
      <c r="AH48" s="228">
        <v>0</v>
      </c>
      <c r="AI48" s="228">
        <v>1</v>
      </c>
      <c r="AJ48" s="228">
        <v>0</v>
      </c>
      <c r="AK48" s="228" t="s">
        <v>40</v>
      </c>
      <c r="AL48" s="228">
        <v>0</v>
      </c>
      <c r="AM48" s="228">
        <v>1</v>
      </c>
      <c r="AN48" s="228" t="s">
        <v>98</v>
      </c>
      <c r="AO48" s="228">
        <v>0</v>
      </c>
      <c r="AP48" s="228">
        <v>100</v>
      </c>
      <c r="AQ48" s="228" t="s">
        <v>106</v>
      </c>
      <c r="AR48" s="6" t="str">
        <f t="shared" si="5"/>
        <v>BXX</v>
      </c>
      <c r="AS48" s="228" t="s">
        <v>1</v>
      </c>
      <c r="AT48" s="6" t="str">
        <f>$A$3&amp;".DTY2_STS.AO_PS"</f>
        <v>BXX_DTY1_DP.DTY2_STS.AO_PS</v>
      </c>
      <c r="AU48" s="228" t="s">
        <v>1</v>
      </c>
      <c r="AV48" s="6" t="str">
        <f t="shared" si="11"/>
        <v>Station Pump Duty 2 Stop Level Entry</v>
      </c>
      <c r="AW48" s="228">
        <v>0</v>
      </c>
      <c r="AX48" s="228">
        <v>0</v>
      </c>
      <c r="AY48" s="228">
        <v>0</v>
      </c>
      <c r="AZ48" s="228">
        <v>0</v>
      </c>
      <c r="BA48" s="228">
        <v>0</v>
      </c>
      <c r="BB48" s="228">
        <v>0</v>
      </c>
      <c r="BC48" s="228">
        <v>0</v>
      </c>
      <c r="BD48" s="228">
        <v>0</v>
      </c>
    </row>
    <row r="49" spans="1:56" x14ac:dyDescent="0.25">
      <c r="A49" s="3" t="str">
        <f>$A$3&amp;"3_AO_PS"</f>
        <v>BXX_DTY1_DP3_AO_PS</v>
      </c>
      <c r="B49" s="6" t="str">
        <f t="shared" si="7"/>
        <v>BXX_DTY1_DP</v>
      </c>
      <c r="C49" s="6" t="str">
        <f>$C$3 &amp; " 3 Stop Level Entry"</f>
        <v>Station Pump Duty 3 Stop Level Entry</v>
      </c>
      <c r="D49" s="4">
        <f t="shared" si="10"/>
        <v>36</v>
      </c>
      <c r="E49" s="230" t="s">
        <v>1</v>
      </c>
      <c r="F49" s="230" t="s">
        <v>0</v>
      </c>
      <c r="G49" s="2">
        <v>900</v>
      </c>
      <c r="H49" s="230" t="s">
        <v>0</v>
      </c>
      <c r="I49" s="230" t="s">
        <v>1</v>
      </c>
      <c r="J49" s="230">
        <v>0</v>
      </c>
      <c r="K49" s="230">
        <v>0</v>
      </c>
      <c r="L49" s="239" t="s">
        <v>99</v>
      </c>
      <c r="M49" s="239">
        <v>0</v>
      </c>
      <c r="N49" s="230">
        <v>0</v>
      </c>
      <c r="O49" s="230">
        <v>100</v>
      </c>
      <c r="P49" s="230">
        <v>0</v>
      </c>
      <c r="Q49" s="230">
        <v>0</v>
      </c>
      <c r="R49" s="230" t="s">
        <v>40</v>
      </c>
      <c r="S49" s="230">
        <v>0</v>
      </c>
      <c r="T49" s="230">
        <v>1</v>
      </c>
      <c r="U49" s="230" t="s">
        <v>40</v>
      </c>
      <c r="V49" s="230">
        <v>0</v>
      </c>
      <c r="W49" s="230">
        <v>1</v>
      </c>
      <c r="X49" s="230" t="s">
        <v>40</v>
      </c>
      <c r="Y49" s="230">
        <v>0</v>
      </c>
      <c r="Z49" s="230">
        <v>1</v>
      </c>
      <c r="AA49" s="230" t="s">
        <v>40</v>
      </c>
      <c r="AB49" s="230">
        <v>0</v>
      </c>
      <c r="AC49" s="230">
        <v>1</v>
      </c>
      <c r="AD49" s="230" t="s">
        <v>40</v>
      </c>
      <c r="AE49" s="230">
        <v>0</v>
      </c>
      <c r="AF49" s="230">
        <v>1</v>
      </c>
      <c r="AG49" s="230" t="s">
        <v>40</v>
      </c>
      <c r="AH49" s="230">
        <v>0</v>
      </c>
      <c r="AI49" s="230">
        <v>1</v>
      </c>
      <c r="AJ49" s="230">
        <v>0</v>
      </c>
      <c r="AK49" s="230" t="s">
        <v>40</v>
      </c>
      <c r="AL49" s="230">
        <v>0</v>
      </c>
      <c r="AM49" s="230">
        <v>1</v>
      </c>
      <c r="AN49" s="230" t="s">
        <v>98</v>
      </c>
      <c r="AO49" s="230">
        <v>0</v>
      </c>
      <c r="AP49" s="230">
        <v>100</v>
      </c>
      <c r="AQ49" s="230" t="s">
        <v>106</v>
      </c>
      <c r="AR49" s="6" t="str">
        <f t="shared" si="5"/>
        <v>BXX</v>
      </c>
      <c r="AS49" s="230" t="s">
        <v>1</v>
      </c>
      <c r="AT49" s="6" t="str">
        <f>$A$3&amp;".DTY3_STS.AO_PS"</f>
        <v>BXX_DTY1_DP.DTY3_STS.AO_PS</v>
      </c>
      <c r="AU49" s="230" t="s">
        <v>1</v>
      </c>
      <c r="AV49" s="6" t="str">
        <f t="shared" si="11"/>
        <v>Station Pump Duty 3 Stop Level Entry</v>
      </c>
      <c r="AW49" s="230">
        <v>0</v>
      </c>
      <c r="AX49" s="230">
        <v>0</v>
      </c>
      <c r="AY49" s="230">
        <v>0</v>
      </c>
      <c r="AZ49" s="230">
        <v>0</v>
      </c>
      <c r="BA49" s="230">
        <v>0</v>
      </c>
      <c r="BB49" s="230">
        <v>0</v>
      </c>
      <c r="BC49" s="230">
        <v>0</v>
      </c>
      <c r="BD49" s="230">
        <v>0</v>
      </c>
    </row>
    <row r="50" spans="1:56" x14ac:dyDescent="0.25">
      <c r="A50" s="3" t="str">
        <f>$A$3&amp;"4_AO_PS"</f>
        <v>BXX_DTY1_DP4_AO_PS</v>
      </c>
      <c r="B50" s="6" t="str">
        <f t="shared" si="7"/>
        <v>BXX_DTY1_DP</v>
      </c>
      <c r="C50" s="6" t="str">
        <f>$C$3 &amp; " 4 Stop Level Entry"</f>
        <v>Station Pump Duty 4 Stop Level Entry</v>
      </c>
      <c r="D50" s="4">
        <f t="shared" si="10"/>
        <v>36</v>
      </c>
      <c r="E50" s="230" t="s">
        <v>1</v>
      </c>
      <c r="F50" s="230" t="s">
        <v>0</v>
      </c>
      <c r="G50" s="2">
        <v>900</v>
      </c>
      <c r="H50" s="230" t="s">
        <v>0</v>
      </c>
      <c r="I50" s="230" t="s">
        <v>1</v>
      </c>
      <c r="J50" s="230">
        <v>0</v>
      </c>
      <c r="K50" s="230">
        <v>0</v>
      </c>
      <c r="L50" s="239" t="s">
        <v>99</v>
      </c>
      <c r="M50" s="239">
        <v>0</v>
      </c>
      <c r="N50" s="230">
        <v>0</v>
      </c>
      <c r="O50" s="230">
        <v>100</v>
      </c>
      <c r="P50" s="230">
        <v>0</v>
      </c>
      <c r="Q50" s="230">
        <v>0</v>
      </c>
      <c r="R50" s="230" t="s">
        <v>40</v>
      </c>
      <c r="S50" s="230">
        <v>0</v>
      </c>
      <c r="T50" s="230">
        <v>1</v>
      </c>
      <c r="U50" s="230" t="s">
        <v>40</v>
      </c>
      <c r="V50" s="230">
        <v>0</v>
      </c>
      <c r="W50" s="230">
        <v>1</v>
      </c>
      <c r="X50" s="230" t="s">
        <v>40</v>
      </c>
      <c r="Y50" s="230">
        <v>0</v>
      </c>
      <c r="Z50" s="230">
        <v>1</v>
      </c>
      <c r="AA50" s="230" t="s">
        <v>40</v>
      </c>
      <c r="AB50" s="230">
        <v>0</v>
      </c>
      <c r="AC50" s="230">
        <v>1</v>
      </c>
      <c r="AD50" s="230" t="s">
        <v>40</v>
      </c>
      <c r="AE50" s="230">
        <v>0</v>
      </c>
      <c r="AF50" s="230">
        <v>1</v>
      </c>
      <c r="AG50" s="230" t="s">
        <v>40</v>
      </c>
      <c r="AH50" s="230">
        <v>0</v>
      </c>
      <c r="AI50" s="230">
        <v>1</v>
      </c>
      <c r="AJ50" s="230">
        <v>0</v>
      </c>
      <c r="AK50" s="230" t="s">
        <v>40</v>
      </c>
      <c r="AL50" s="230">
        <v>0</v>
      </c>
      <c r="AM50" s="230">
        <v>1</v>
      </c>
      <c r="AN50" s="230" t="s">
        <v>98</v>
      </c>
      <c r="AO50" s="230">
        <v>0</v>
      </c>
      <c r="AP50" s="230">
        <v>100</v>
      </c>
      <c r="AQ50" s="230" t="s">
        <v>106</v>
      </c>
      <c r="AR50" s="6" t="str">
        <f t="shared" si="5"/>
        <v>BXX</v>
      </c>
      <c r="AS50" s="230" t="s">
        <v>1</v>
      </c>
      <c r="AT50" s="6" t="str">
        <f>$A$3&amp;".DTY4_STS.AO_PS"</f>
        <v>BXX_DTY1_DP.DTY4_STS.AO_PS</v>
      </c>
      <c r="AU50" s="230" t="s">
        <v>1</v>
      </c>
      <c r="AV50" s="6" t="str">
        <f t="shared" si="11"/>
        <v>Station Pump Duty 4 Stop Level Entry</v>
      </c>
      <c r="AW50" s="230">
        <v>0</v>
      </c>
      <c r="AX50" s="230">
        <v>0</v>
      </c>
      <c r="AY50" s="230">
        <v>0</v>
      </c>
      <c r="AZ50" s="230">
        <v>0</v>
      </c>
      <c r="BA50" s="230">
        <v>0</v>
      </c>
      <c r="BB50" s="230">
        <v>0</v>
      </c>
      <c r="BC50" s="230">
        <v>0</v>
      </c>
      <c r="BD50" s="230">
        <v>0</v>
      </c>
    </row>
    <row r="51" spans="1:56" x14ac:dyDescent="0.25">
      <c r="A51" s="6" t="str">
        <f>$A$3&amp;"1_AI_TS"</f>
        <v>BXX_DTY1_DP1_AI_TS</v>
      </c>
      <c r="B51" s="6" t="str">
        <f t="shared" si="7"/>
        <v>BXX_DTY1_DP</v>
      </c>
      <c r="C51" s="6" t="str">
        <f>$C$3 &amp; " 1 Start Level"</f>
        <v>Station Pump Duty 1 Start Level</v>
      </c>
      <c r="D51" s="4">
        <f t="shared" si="10"/>
        <v>31</v>
      </c>
      <c r="E51" s="228" t="s">
        <v>1</v>
      </c>
      <c r="F51" s="228" t="s">
        <v>0</v>
      </c>
      <c r="G51" s="2">
        <v>900</v>
      </c>
      <c r="H51" s="228" t="s">
        <v>0</v>
      </c>
      <c r="I51" s="228" t="s">
        <v>1</v>
      </c>
      <c r="J51" s="228">
        <v>0</v>
      </c>
      <c r="K51" s="228">
        <v>0</v>
      </c>
      <c r="L51" s="239" t="s">
        <v>99</v>
      </c>
      <c r="M51" s="239">
        <v>0</v>
      </c>
      <c r="N51" s="228">
        <v>0</v>
      </c>
      <c r="O51" s="228">
        <v>100</v>
      </c>
      <c r="P51" s="228">
        <v>0</v>
      </c>
      <c r="Q51" s="228">
        <v>0</v>
      </c>
      <c r="R51" s="228" t="s">
        <v>40</v>
      </c>
      <c r="S51" s="228">
        <v>0</v>
      </c>
      <c r="T51" s="228">
        <v>1</v>
      </c>
      <c r="U51" s="228" t="s">
        <v>40</v>
      </c>
      <c r="V51" s="228">
        <v>0</v>
      </c>
      <c r="W51" s="228">
        <v>1</v>
      </c>
      <c r="X51" s="228" t="s">
        <v>40</v>
      </c>
      <c r="Y51" s="228">
        <v>0</v>
      </c>
      <c r="Z51" s="228">
        <v>1</v>
      </c>
      <c r="AA51" s="228" t="s">
        <v>40</v>
      </c>
      <c r="AB51" s="228">
        <v>0</v>
      </c>
      <c r="AC51" s="228">
        <v>1</v>
      </c>
      <c r="AD51" s="228" t="s">
        <v>40</v>
      </c>
      <c r="AE51" s="228">
        <v>0</v>
      </c>
      <c r="AF51" s="228">
        <v>1</v>
      </c>
      <c r="AG51" s="228" t="s">
        <v>40</v>
      </c>
      <c r="AH51" s="228">
        <v>0</v>
      </c>
      <c r="AI51" s="228">
        <v>1</v>
      </c>
      <c r="AJ51" s="228">
        <v>0</v>
      </c>
      <c r="AK51" s="228" t="s">
        <v>40</v>
      </c>
      <c r="AL51" s="228">
        <v>0</v>
      </c>
      <c r="AM51" s="228">
        <v>1</v>
      </c>
      <c r="AN51" s="228" t="s">
        <v>98</v>
      </c>
      <c r="AO51" s="228">
        <v>0</v>
      </c>
      <c r="AP51" s="228">
        <v>100</v>
      </c>
      <c r="AQ51" s="228" t="s">
        <v>106</v>
      </c>
      <c r="AR51" s="6" t="str">
        <f t="shared" si="5"/>
        <v>BXX</v>
      </c>
      <c r="AS51" s="228" t="s">
        <v>1</v>
      </c>
      <c r="AT51" s="6" t="str">
        <f>$A$3&amp;".DTY1_STS.AI_TS"</f>
        <v>BXX_DTY1_DP.DTY1_STS.AI_TS</v>
      </c>
      <c r="AU51" s="228" t="s">
        <v>1</v>
      </c>
      <c r="AV51" s="6" t="str">
        <f t="shared" si="11"/>
        <v>Station Pump Duty 1 Start Level</v>
      </c>
      <c r="AW51" s="228">
        <v>0</v>
      </c>
      <c r="AX51" s="228">
        <v>0</v>
      </c>
      <c r="AY51" s="228">
        <v>0</v>
      </c>
      <c r="AZ51" s="228">
        <v>0</v>
      </c>
      <c r="BA51" s="228">
        <v>0</v>
      </c>
      <c r="BB51" s="228">
        <v>0</v>
      </c>
      <c r="BC51" s="228">
        <v>0</v>
      </c>
      <c r="BD51" s="228">
        <v>0</v>
      </c>
    </row>
    <row r="52" spans="1:56" x14ac:dyDescent="0.25">
      <c r="A52" s="6" t="str">
        <f>$A$3&amp;"2_AI_TS"</f>
        <v>BXX_DTY1_DP2_AI_TS</v>
      </c>
      <c r="B52" s="6" t="str">
        <f t="shared" si="7"/>
        <v>BXX_DTY1_DP</v>
      </c>
      <c r="C52" s="6" t="str">
        <f>$C$3 &amp; " 2 Start Level"</f>
        <v>Station Pump Duty 2 Start Level</v>
      </c>
      <c r="D52" s="4">
        <f t="shared" si="10"/>
        <v>31</v>
      </c>
      <c r="E52" s="228" t="s">
        <v>1</v>
      </c>
      <c r="F52" s="228" t="s">
        <v>0</v>
      </c>
      <c r="G52" s="2">
        <v>900</v>
      </c>
      <c r="H52" s="228" t="s">
        <v>0</v>
      </c>
      <c r="I52" s="228" t="s">
        <v>1</v>
      </c>
      <c r="J52" s="228">
        <v>0</v>
      </c>
      <c r="K52" s="228">
        <v>0</v>
      </c>
      <c r="L52" s="239" t="s">
        <v>99</v>
      </c>
      <c r="M52" s="239">
        <v>0</v>
      </c>
      <c r="N52" s="228">
        <v>0</v>
      </c>
      <c r="O52" s="228">
        <v>100</v>
      </c>
      <c r="P52" s="228">
        <v>0</v>
      </c>
      <c r="Q52" s="228">
        <v>0</v>
      </c>
      <c r="R52" s="228" t="s">
        <v>40</v>
      </c>
      <c r="S52" s="228">
        <v>0</v>
      </c>
      <c r="T52" s="228">
        <v>1</v>
      </c>
      <c r="U52" s="228" t="s">
        <v>40</v>
      </c>
      <c r="V52" s="228">
        <v>0</v>
      </c>
      <c r="W52" s="228">
        <v>1</v>
      </c>
      <c r="X52" s="228" t="s">
        <v>40</v>
      </c>
      <c r="Y52" s="228">
        <v>0</v>
      </c>
      <c r="Z52" s="228">
        <v>1</v>
      </c>
      <c r="AA52" s="228" t="s">
        <v>40</v>
      </c>
      <c r="AB52" s="228">
        <v>0</v>
      </c>
      <c r="AC52" s="228">
        <v>1</v>
      </c>
      <c r="AD52" s="228" t="s">
        <v>40</v>
      </c>
      <c r="AE52" s="228">
        <v>0</v>
      </c>
      <c r="AF52" s="228">
        <v>1</v>
      </c>
      <c r="AG52" s="228" t="s">
        <v>40</v>
      </c>
      <c r="AH52" s="228">
        <v>0</v>
      </c>
      <c r="AI52" s="228">
        <v>1</v>
      </c>
      <c r="AJ52" s="228">
        <v>0</v>
      </c>
      <c r="AK52" s="228" t="s">
        <v>40</v>
      </c>
      <c r="AL52" s="228">
        <v>0</v>
      </c>
      <c r="AM52" s="228">
        <v>1</v>
      </c>
      <c r="AN52" s="228" t="s">
        <v>98</v>
      </c>
      <c r="AO52" s="228">
        <v>0</v>
      </c>
      <c r="AP52" s="228">
        <v>100</v>
      </c>
      <c r="AQ52" s="228" t="s">
        <v>106</v>
      </c>
      <c r="AR52" s="6" t="str">
        <f t="shared" si="5"/>
        <v>BXX</v>
      </c>
      <c r="AS52" s="228" t="s">
        <v>1</v>
      </c>
      <c r="AT52" s="6" t="str">
        <f>$A$3&amp;".DTY2_STS.AI_TS"</f>
        <v>BXX_DTY1_DP.DTY2_STS.AI_TS</v>
      </c>
      <c r="AU52" s="228" t="s">
        <v>1</v>
      </c>
      <c r="AV52" s="6" t="str">
        <f t="shared" si="11"/>
        <v>Station Pump Duty 2 Start Level</v>
      </c>
      <c r="AW52" s="228">
        <v>0</v>
      </c>
      <c r="AX52" s="228">
        <v>0</v>
      </c>
      <c r="AY52" s="228">
        <v>0</v>
      </c>
      <c r="AZ52" s="228">
        <v>0</v>
      </c>
      <c r="BA52" s="228">
        <v>0</v>
      </c>
      <c r="BB52" s="228">
        <v>0</v>
      </c>
      <c r="BC52" s="228">
        <v>0</v>
      </c>
      <c r="BD52" s="228">
        <v>0</v>
      </c>
    </row>
    <row r="53" spans="1:56" x14ac:dyDescent="0.25">
      <c r="A53" s="3" t="str">
        <f>$A$3&amp;"3_AI_TS"</f>
        <v>BXX_DTY1_DP3_AI_TS</v>
      </c>
      <c r="B53" s="6" t="str">
        <f t="shared" si="7"/>
        <v>BXX_DTY1_DP</v>
      </c>
      <c r="C53" s="6" t="str">
        <f>$C$3 &amp; " 3 Start Level"</f>
        <v>Station Pump Duty 3 Start Level</v>
      </c>
      <c r="D53" s="4">
        <f t="shared" si="10"/>
        <v>31</v>
      </c>
      <c r="E53" s="230" t="s">
        <v>1</v>
      </c>
      <c r="F53" s="230" t="s">
        <v>0</v>
      </c>
      <c r="G53" s="2">
        <v>900</v>
      </c>
      <c r="H53" s="230" t="s">
        <v>0</v>
      </c>
      <c r="I53" s="230" t="s">
        <v>1</v>
      </c>
      <c r="J53" s="230">
        <v>0</v>
      </c>
      <c r="K53" s="230">
        <v>0</v>
      </c>
      <c r="L53" s="239" t="s">
        <v>99</v>
      </c>
      <c r="M53" s="239">
        <v>0</v>
      </c>
      <c r="N53" s="230">
        <v>0</v>
      </c>
      <c r="O53" s="230">
        <v>100</v>
      </c>
      <c r="P53" s="230">
        <v>0</v>
      </c>
      <c r="Q53" s="230">
        <v>0</v>
      </c>
      <c r="R53" s="230" t="s">
        <v>40</v>
      </c>
      <c r="S53" s="230">
        <v>0</v>
      </c>
      <c r="T53" s="230">
        <v>1</v>
      </c>
      <c r="U53" s="230" t="s">
        <v>40</v>
      </c>
      <c r="V53" s="230">
        <v>0</v>
      </c>
      <c r="W53" s="230">
        <v>1</v>
      </c>
      <c r="X53" s="230" t="s">
        <v>40</v>
      </c>
      <c r="Y53" s="230">
        <v>0</v>
      </c>
      <c r="Z53" s="230">
        <v>1</v>
      </c>
      <c r="AA53" s="230" t="s">
        <v>40</v>
      </c>
      <c r="AB53" s="230">
        <v>0</v>
      </c>
      <c r="AC53" s="230">
        <v>1</v>
      </c>
      <c r="AD53" s="230" t="s">
        <v>40</v>
      </c>
      <c r="AE53" s="230">
        <v>0</v>
      </c>
      <c r="AF53" s="230">
        <v>1</v>
      </c>
      <c r="AG53" s="230" t="s">
        <v>40</v>
      </c>
      <c r="AH53" s="230">
        <v>0</v>
      </c>
      <c r="AI53" s="230">
        <v>1</v>
      </c>
      <c r="AJ53" s="230">
        <v>0</v>
      </c>
      <c r="AK53" s="230" t="s">
        <v>40</v>
      </c>
      <c r="AL53" s="230">
        <v>0</v>
      </c>
      <c r="AM53" s="230">
        <v>1</v>
      </c>
      <c r="AN53" s="230" t="s">
        <v>98</v>
      </c>
      <c r="AO53" s="230">
        <v>0</v>
      </c>
      <c r="AP53" s="230">
        <v>100</v>
      </c>
      <c r="AQ53" s="230" t="s">
        <v>106</v>
      </c>
      <c r="AR53" s="6" t="str">
        <f t="shared" si="5"/>
        <v>BXX</v>
      </c>
      <c r="AS53" s="230" t="s">
        <v>1</v>
      </c>
      <c r="AT53" s="6" t="str">
        <f>$A$3&amp;".DTY3_STS.AI_TS"</f>
        <v>BXX_DTY1_DP.DTY3_STS.AI_TS</v>
      </c>
      <c r="AU53" s="230" t="s">
        <v>1</v>
      </c>
      <c r="AV53" s="6" t="str">
        <f t="shared" si="11"/>
        <v>Station Pump Duty 3 Start Level</v>
      </c>
      <c r="AW53" s="230">
        <v>0</v>
      </c>
      <c r="AX53" s="230">
        <v>0</v>
      </c>
      <c r="AY53" s="230">
        <v>0</v>
      </c>
      <c r="AZ53" s="230">
        <v>0</v>
      </c>
      <c r="BA53" s="230">
        <v>0</v>
      </c>
      <c r="BB53" s="230">
        <v>0</v>
      </c>
      <c r="BC53" s="230">
        <v>0</v>
      </c>
      <c r="BD53" s="230">
        <v>0</v>
      </c>
    </row>
    <row r="54" spans="1:56" x14ac:dyDescent="0.25">
      <c r="A54" s="3" t="str">
        <f>$A$3&amp;"4_AI_TS"</f>
        <v>BXX_DTY1_DP4_AI_TS</v>
      </c>
      <c r="B54" s="6" t="str">
        <f t="shared" si="7"/>
        <v>BXX_DTY1_DP</v>
      </c>
      <c r="C54" s="6" t="str">
        <f>$C$3 &amp; " 4 Start Level"</f>
        <v>Station Pump Duty 4 Start Level</v>
      </c>
      <c r="D54" s="4">
        <f t="shared" si="10"/>
        <v>31</v>
      </c>
      <c r="E54" s="230" t="s">
        <v>1</v>
      </c>
      <c r="F54" s="230" t="s">
        <v>0</v>
      </c>
      <c r="G54" s="2">
        <v>900</v>
      </c>
      <c r="H54" s="230" t="s">
        <v>0</v>
      </c>
      <c r="I54" s="230" t="s">
        <v>1</v>
      </c>
      <c r="J54" s="230">
        <v>0</v>
      </c>
      <c r="K54" s="230">
        <v>0</v>
      </c>
      <c r="L54" s="239" t="s">
        <v>99</v>
      </c>
      <c r="M54" s="239">
        <v>0</v>
      </c>
      <c r="N54" s="230">
        <v>0</v>
      </c>
      <c r="O54" s="230">
        <v>100</v>
      </c>
      <c r="P54" s="230">
        <v>0</v>
      </c>
      <c r="Q54" s="230">
        <v>0</v>
      </c>
      <c r="R54" s="230" t="s">
        <v>40</v>
      </c>
      <c r="S54" s="230">
        <v>0</v>
      </c>
      <c r="T54" s="230">
        <v>1</v>
      </c>
      <c r="U54" s="230" t="s">
        <v>40</v>
      </c>
      <c r="V54" s="230">
        <v>0</v>
      </c>
      <c r="W54" s="230">
        <v>1</v>
      </c>
      <c r="X54" s="230" t="s">
        <v>40</v>
      </c>
      <c r="Y54" s="230">
        <v>0</v>
      </c>
      <c r="Z54" s="230">
        <v>1</v>
      </c>
      <c r="AA54" s="230" t="s">
        <v>40</v>
      </c>
      <c r="AB54" s="230">
        <v>0</v>
      </c>
      <c r="AC54" s="230">
        <v>1</v>
      </c>
      <c r="AD54" s="230" t="s">
        <v>40</v>
      </c>
      <c r="AE54" s="230">
        <v>0</v>
      </c>
      <c r="AF54" s="230">
        <v>1</v>
      </c>
      <c r="AG54" s="230" t="s">
        <v>40</v>
      </c>
      <c r="AH54" s="230">
        <v>0</v>
      </c>
      <c r="AI54" s="230">
        <v>1</v>
      </c>
      <c r="AJ54" s="230">
        <v>0</v>
      </c>
      <c r="AK54" s="230" t="s">
        <v>40</v>
      </c>
      <c r="AL54" s="230">
        <v>0</v>
      </c>
      <c r="AM54" s="230">
        <v>1</v>
      </c>
      <c r="AN54" s="230" t="s">
        <v>98</v>
      </c>
      <c r="AO54" s="230">
        <v>0</v>
      </c>
      <c r="AP54" s="230">
        <v>100</v>
      </c>
      <c r="AQ54" s="230" t="s">
        <v>106</v>
      </c>
      <c r="AR54" s="6" t="str">
        <f t="shared" si="5"/>
        <v>BXX</v>
      </c>
      <c r="AS54" s="230" t="s">
        <v>1</v>
      </c>
      <c r="AT54" s="6" t="str">
        <f>$A$3&amp;".DTY4_STS.AI_TS"</f>
        <v>BXX_DTY1_DP.DTY4_STS.AI_TS</v>
      </c>
      <c r="AU54" s="230" t="s">
        <v>1</v>
      </c>
      <c r="AV54" s="6" t="str">
        <f t="shared" si="11"/>
        <v>Station Pump Duty 4 Start Level</v>
      </c>
      <c r="AW54" s="230">
        <v>0</v>
      </c>
      <c r="AX54" s="230">
        <v>0</v>
      </c>
      <c r="AY54" s="230">
        <v>0</v>
      </c>
      <c r="AZ54" s="230">
        <v>0</v>
      </c>
      <c r="BA54" s="230">
        <v>0</v>
      </c>
      <c r="BB54" s="230">
        <v>0</v>
      </c>
      <c r="BC54" s="230">
        <v>0</v>
      </c>
      <c r="BD54" s="230">
        <v>0</v>
      </c>
    </row>
    <row r="55" spans="1:56" x14ac:dyDescent="0.25">
      <c r="A55" s="6" t="str">
        <f>$A$3&amp;"1_AI_PS"</f>
        <v>BXX_DTY1_DP1_AI_PS</v>
      </c>
      <c r="B55" s="6" t="str">
        <f t="shared" si="7"/>
        <v>BXX_DTY1_DP</v>
      </c>
      <c r="C55" s="6" t="str">
        <f>$C$3 &amp; " 1 Stop Level"</f>
        <v>Station Pump Duty 1 Stop Level</v>
      </c>
      <c r="D55" s="4">
        <f t="shared" si="10"/>
        <v>30</v>
      </c>
      <c r="E55" s="228" t="s">
        <v>1</v>
      </c>
      <c r="F55" s="228" t="s">
        <v>0</v>
      </c>
      <c r="G55" s="2">
        <v>900</v>
      </c>
      <c r="H55" s="228" t="s">
        <v>0</v>
      </c>
      <c r="I55" s="228" t="s">
        <v>1</v>
      </c>
      <c r="J55" s="228">
        <v>0</v>
      </c>
      <c r="K55" s="228">
        <v>0</v>
      </c>
      <c r="L55" s="239" t="s">
        <v>99</v>
      </c>
      <c r="M55" s="239">
        <v>0</v>
      </c>
      <c r="N55" s="228">
        <v>0</v>
      </c>
      <c r="O55" s="228">
        <v>100</v>
      </c>
      <c r="P55" s="228">
        <v>0</v>
      </c>
      <c r="Q55" s="228">
        <v>0</v>
      </c>
      <c r="R55" s="228" t="s">
        <v>40</v>
      </c>
      <c r="S55" s="228">
        <v>0</v>
      </c>
      <c r="T55" s="228">
        <v>1</v>
      </c>
      <c r="U55" s="228" t="s">
        <v>40</v>
      </c>
      <c r="V55" s="228">
        <v>0</v>
      </c>
      <c r="W55" s="228">
        <v>1</v>
      </c>
      <c r="X55" s="228" t="s">
        <v>40</v>
      </c>
      <c r="Y55" s="228">
        <v>0</v>
      </c>
      <c r="Z55" s="228">
        <v>1</v>
      </c>
      <c r="AA55" s="228" t="s">
        <v>40</v>
      </c>
      <c r="AB55" s="228">
        <v>0</v>
      </c>
      <c r="AC55" s="228">
        <v>1</v>
      </c>
      <c r="AD55" s="228" t="s">
        <v>40</v>
      </c>
      <c r="AE55" s="228">
        <v>0</v>
      </c>
      <c r="AF55" s="228">
        <v>1</v>
      </c>
      <c r="AG55" s="228" t="s">
        <v>40</v>
      </c>
      <c r="AH55" s="228">
        <v>0</v>
      </c>
      <c r="AI55" s="228">
        <v>1</v>
      </c>
      <c r="AJ55" s="228">
        <v>0</v>
      </c>
      <c r="AK55" s="228" t="s">
        <v>40</v>
      </c>
      <c r="AL55" s="228">
        <v>0</v>
      </c>
      <c r="AM55" s="228">
        <v>1</v>
      </c>
      <c r="AN55" s="228" t="s">
        <v>98</v>
      </c>
      <c r="AO55" s="228">
        <v>0</v>
      </c>
      <c r="AP55" s="228">
        <v>100</v>
      </c>
      <c r="AQ55" s="228" t="s">
        <v>106</v>
      </c>
      <c r="AR55" s="6" t="str">
        <f t="shared" si="5"/>
        <v>BXX</v>
      </c>
      <c r="AS55" s="228" t="s">
        <v>1</v>
      </c>
      <c r="AT55" s="6" t="str">
        <f>$A$3&amp;".DTY1_STS.AI_PS"</f>
        <v>BXX_DTY1_DP.DTY1_STS.AI_PS</v>
      </c>
      <c r="AU55" s="228" t="s">
        <v>1</v>
      </c>
      <c r="AV55" s="6" t="str">
        <f t="shared" si="11"/>
        <v>Station Pump Duty 1 Stop Level</v>
      </c>
      <c r="AW55" s="228">
        <v>0</v>
      </c>
      <c r="AX55" s="228">
        <v>0</v>
      </c>
      <c r="AY55" s="228">
        <v>0</v>
      </c>
      <c r="AZ55" s="228">
        <v>0</v>
      </c>
      <c r="BA55" s="228">
        <v>0</v>
      </c>
      <c r="BB55" s="228">
        <v>0</v>
      </c>
      <c r="BC55" s="228">
        <v>0</v>
      </c>
      <c r="BD55" s="228">
        <v>0</v>
      </c>
    </row>
    <row r="56" spans="1:56" x14ac:dyDescent="0.25">
      <c r="A56" s="6" t="str">
        <f>$A$3&amp;"2_AI_PS"</f>
        <v>BXX_DTY1_DP2_AI_PS</v>
      </c>
      <c r="B56" s="6" t="str">
        <f t="shared" si="7"/>
        <v>BXX_DTY1_DP</v>
      </c>
      <c r="C56" s="6" t="str">
        <f>$C$3 &amp; " 2 Stop Level"</f>
        <v>Station Pump Duty 2 Stop Level</v>
      </c>
      <c r="D56" s="4">
        <f t="shared" si="10"/>
        <v>30</v>
      </c>
      <c r="E56" s="228" t="s">
        <v>1</v>
      </c>
      <c r="F56" s="228" t="s">
        <v>0</v>
      </c>
      <c r="G56" s="2">
        <v>900</v>
      </c>
      <c r="H56" s="228" t="s">
        <v>0</v>
      </c>
      <c r="I56" s="228" t="s">
        <v>1</v>
      </c>
      <c r="J56" s="228">
        <v>0</v>
      </c>
      <c r="K56" s="228">
        <v>0</v>
      </c>
      <c r="L56" s="239" t="s">
        <v>99</v>
      </c>
      <c r="M56" s="239">
        <v>0</v>
      </c>
      <c r="N56" s="228">
        <v>0</v>
      </c>
      <c r="O56" s="228">
        <v>100</v>
      </c>
      <c r="P56" s="228">
        <v>0</v>
      </c>
      <c r="Q56" s="228">
        <v>0</v>
      </c>
      <c r="R56" s="228" t="s">
        <v>40</v>
      </c>
      <c r="S56" s="228">
        <v>0</v>
      </c>
      <c r="T56" s="228">
        <v>1</v>
      </c>
      <c r="U56" s="228" t="s">
        <v>40</v>
      </c>
      <c r="V56" s="228">
        <v>0</v>
      </c>
      <c r="W56" s="228">
        <v>1</v>
      </c>
      <c r="X56" s="228" t="s">
        <v>40</v>
      </c>
      <c r="Y56" s="228">
        <v>0</v>
      </c>
      <c r="Z56" s="228">
        <v>1</v>
      </c>
      <c r="AA56" s="228" t="s">
        <v>40</v>
      </c>
      <c r="AB56" s="228">
        <v>0</v>
      </c>
      <c r="AC56" s="228">
        <v>1</v>
      </c>
      <c r="AD56" s="228" t="s">
        <v>40</v>
      </c>
      <c r="AE56" s="228">
        <v>0</v>
      </c>
      <c r="AF56" s="228">
        <v>1</v>
      </c>
      <c r="AG56" s="228" t="s">
        <v>40</v>
      </c>
      <c r="AH56" s="228">
        <v>0</v>
      </c>
      <c r="AI56" s="228">
        <v>1</v>
      </c>
      <c r="AJ56" s="228">
        <v>0</v>
      </c>
      <c r="AK56" s="228" t="s">
        <v>40</v>
      </c>
      <c r="AL56" s="228">
        <v>0</v>
      </c>
      <c r="AM56" s="228">
        <v>1</v>
      </c>
      <c r="AN56" s="228" t="s">
        <v>98</v>
      </c>
      <c r="AO56" s="228">
        <v>0</v>
      </c>
      <c r="AP56" s="228">
        <v>100</v>
      </c>
      <c r="AQ56" s="228" t="s">
        <v>106</v>
      </c>
      <c r="AR56" s="6" t="str">
        <f t="shared" si="5"/>
        <v>BXX</v>
      </c>
      <c r="AS56" s="228" t="s">
        <v>1</v>
      </c>
      <c r="AT56" s="6" t="str">
        <f>$A$3&amp;".DTY2_STS.AI_PS"</f>
        <v>BXX_DTY1_DP.DTY2_STS.AI_PS</v>
      </c>
      <c r="AU56" s="228" t="s">
        <v>1</v>
      </c>
      <c r="AV56" s="6" t="str">
        <f t="shared" si="11"/>
        <v>Station Pump Duty 2 Stop Level</v>
      </c>
      <c r="AW56" s="228">
        <v>0</v>
      </c>
      <c r="AX56" s="228">
        <v>0</v>
      </c>
      <c r="AY56" s="228">
        <v>0</v>
      </c>
      <c r="AZ56" s="228">
        <v>0</v>
      </c>
      <c r="BA56" s="228">
        <v>0</v>
      </c>
      <c r="BB56" s="228">
        <v>0</v>
      </c>
      <c r="BC56" s="228">
        <v>0</v>
      </c>
      <c r="BD56" s="228">
        <v>0</v>
      </c>
    </row>
    <row r="57" spans="1:56" x14ac:dyDescent="0.25">
      <c r="A57" s="3" t="str">
        <f>$A$3&amp;"3_AI_PS"</f>
        <v>BXX_DTY1_DP3_AI_PS</v>
      </c>
      <c r="B57" s="6" t="str">
        <f t="shared" si="7"/>
        <v>BXX_DTY1_DP</v>
      </c>
      <c r="C57" s="6" t="str">
        <f>$C$3 &amp; " 3 Stop Level"</f>
        <v>Station Pump Duty 3 Stop Level</v>
      </c>
      <c r="D57" s="4">
        <f t="shared" si="10"/>
        <v>30</v>
      </c>
      <c r="E57" s="230" t="s">
        <v>1</v>
      </c>
      <c r="F57" s="230" t="s">
        <v>0</v>
      </c>
      <c r="G57" s="2">
        <v>900</v>
      </c>
      <c r="H57" s="230" t="s">
        <v>0</v>
      </c>
      <c r="I57" s="230" t="s">
        <v>1</v>
      </c>
      <c r="J57" s="230">
        <v>0</v>
      </c>
      <c r="K57" s="230">
        <v>0</v>
      </c>
      <c r="L57" s="239" t="s">
        <v>99</v>
      </c>
      <c r="M57" s="239">
        <v>0</v>
      </c>
      <c r="N57" s="230">
        <v>0</v>
      </c>
      <c r="O57" s="230">
        <v>100</v>
      </c>
      <c r="P57" s="230">
        <v>0</v>
      </c>
      <c r="Q57" s="230">
        <v>0</v>
      </c>
      <c r="R57" s="230" t="s">
        <v>40</v>
      </c>
      <c r="S57" s="230">
        <v>0</v>
      </c>
      <c r="T57" s="230">
        <v>1</v>
      </c>
      <c r="U57" s="230" t="s">
        <v>40</v>
      </c>
      <c r="V57" s="230">
        <v>0</v>
      </c>
      <c r="W57" s="230">
        <v>1</v>
      </c>
      <c r="X57" s="230" t="s">
        <v>40</v>
      </c>
      <c r="Y57" s="230">
        <v>0</v>
      </c>
      <c r="Z57" s="230">
        <v>1</v>
      </c>
      <c r="AA57" s="230" t="s">
        <v>40</v>
      </c>
      <c r="AB57" s="230">
        <v>0</v>
      </c>
      <c r="AC57" s="230">
        <v>1</v>
      </c>
      <c r="AD57" s="230" t="s">
        <v>40</v>
      </c>
      <c r="AE57" s="230">
        <v>0</v>
      </c>
      <c r="AF57" s="230">
        <v>1</v>
      </c>
      <c r="AG57" s="230" t="s">
        <v>40</v>
      </c>
      <c r="AH57" s="230">
        <v>0</v>
      </c>
      <c r="AI57" s="230">
        <v>1</v>
      </c>
      <c r="AJ57" s="230">
        <v>0</v>
      </c>
      <c r="AK57" s="230" t="s">
        <v>40</v>
      </c>
      <c r="AL57" s="230">
        <v>0</v>
      </c>
      <c r="AM57" s="230">
        <v>1</v>
      </c>
      <c r="AN57" s="230" t="s">
        <v>98</v>
      </c>
      <c r="AO57" s="230">
        <v>0</v>
      </c>
      <c r="AP57" s="230">
        <v>100</v>
      </c>
      <c r="AQ57" s="230" t="s">
        <v>106</v>
      </c>
      <c r="AR57" s="6" t="str">
        <f t="shared" si="5"/>
        <v>BXX</v>
      </c>
      <c r="AS57" s="230" t="s">
        <v>1</v>
      </c>
      <c r="AT57" s="6" t="str">
        <f>$A$3&amp;".DTY3_STS.AI_PS"</f>
        <v>BXX_DTY1_DP.DTY3_STS.AI_PS</v>
      </c>
      <c r="AU57" s="230" t="s">
        <v>1</v>
      </c>
      <c r="AV57" s="6" t="str">
        <f t="shared" si="11"/>
        <v>Station Pump Duty 3 Stop Level</v>
      </c>
      <c r="AW57" s="230">
        <v>0</v>
      </c>
      <c r="AX57" s="230">
        <v>0</v>
      </c>
      <c r="AY57" s="230">
        <v>0</v>
      </c>
      <c r="AZ57" s="230">
        <v>0</v>
      </c>
      <c r="BA57" s="230">
        <v>0</v>
      </c>
      <c r="BB57" s="230">
        <v>0</v>
      </c>
      <c r="BC57" s="230">
        <v>0</v>
      </c>
      <c r="BD57" s="230">
        <v>0</v>
      </c>
    </row>
    <row r="58" spans="1:56" x14ac:dyDescent="0.25">
      <c r="A58" s="3" t="str">
        <f>$A$3&amp;"4_AI_PS"</f>
        <v>BXX_DTY1_DP4_AI_PS</v>
      </c>
      <c r="B58" s="6" t="str">
        <f t="shared" si="7"/>
        <v>BXX_DTY1_DP</v>
      </c>
      <c r="C58" s="6" t="str">
        <f>$C$3 &amp; " 4 Stop Level"</f>
        <v>Station Pump Duty 4 Stop Level</v>
      </c>
      <c r="D58" s="4">
        <f t="shared" si="10"/>
        <v>30</v>
      </c>
      <c r="E58" s="230" t="s">
        <v>1</v>
      </c>
      <c r="F58" s="230" t="s">
        <v>0</v>
      </c>
      <c r="G58" s="2">
        <v>900</v>
      </c>
      <c r="H58" s="230" t="s">
        <v>0</v>
      </c>
      <c r="I58" s="230" t="s">
        <v>1</v>
      </c>
      <c r="J58" s="230">
        <v>0</v>
      </c>
      <c r="K58" s="230">
        <v>0</v>
      </c>
      <c r="L58" s="239" t="s">
        <v>99</v>
      </c>
      <c r="M58" s="239">
        <v>0</v>
      </c>
      <c r="N58" s="230">
        <v>0</v>
      </c>
      <c r="O58" s="230">
        <v>100</v>
      </c>
      <c r="P58" s="230">
        <v>0</v>
      </c>
      <c r="Q58" s="230">
        <v>0</v>
      </c>
      <c r="R58" s="230" t="s">
        <v>40</v>
      </c>
      <c r="S58" s="230">
        <v>0</v>
      </c>
      <c r="T58" s="230">
        <v>1</v>
      </c>
      <c r="U58" s="230" t="s">
        <v>40</v>
      </c>
      <c r="V58" s="230">
        <v>0</v>
      </c>
      <c r="W58" s="230">
        <v>1</v>
      </c>
      <c r="X58" s="230" t="s">
        <v>40</v>
      </c>
      <c r="Y58" s="230">
        <v>0</v>
      </c>
      <c r="Z58" s="230">
        <v>1</v>
      </c>
      <c r="AA58" s="230" t="s">
        <v>40</v>
      </c>
      <c r="AB58" s="230">
        <v>0</v>
      </c>
      <c r="AC58" s="230">
        <v>1</v>
      </c>
      <c r="AD58" s="230" t="s">
        <v>40</v>
      </c>
      <c r="AE58" s="230">
        <v>0</v>
      </c>
      <c r="AF58" s="230">
        <v>1</v>
      </c>
      <c r="AG58" s="230" t="s">
        <v>40</v>
      </c>
      <c r="AH58" s="230">
        <v>0</v>
      </c>
      <c r="AI58" s="230">
        <v>1</v>
      </c>
      <c r="AJ58" s="230">
        <v>0</v>
      </c>
      <c r="AK58" s="230" t="s">
        <v>40</v>
      </c>
      <c r="AL58" s="230">
        <v>0</v>
      </c>
      <c r="AM58" s="230">
        <v>1</v>
      </c>
      <c r="AN58" s="230" t="s">
        <v>98</v>
      </c>
      <c r="AO58" s="230">
        <v>0</v>
      </c>
      <c r="AP58" s="230">
        <v>100</v>
      </c>
      <c r="AQ58" s="230" t="s">
        <v>106</v>
      </c>
      <c r="AR58" s="6" t="str">
        <f t="shared" si="5"/>
        <v>BXX</v>
      </c>
      <c r="AS58" s="230" t="s">
        <v>1</v>
      </c>
      <c r="AT58" s="6" t="str">
        <f>$A$3&amp;".DTY4_STS.AI_PS"</f>
        <v>BXX_DTY1_DP.DTY4_STS.AI_PS</v>
      </c>
      <c r="AU58" s="230" t="s">
        <v>1</v>
      </c>
      <c r="AV58" s="6" t="str">
        <f t="shared" si="11"/>
        <v>Station Pump Duty 4 Stop Level</v>
      </c>
      <c r="AW58" s="230">
        <v>0</v>
      </c>
      <c r="AX58" s="230">
        <v>0</v>
      </c>
      <c r="AY58" s="230">
        <v>0</v>
      </c>
      <c r="AZ58" s="230">
        <v>0</v>
      </c>
      <c r="BA58" s="230">
        <v>0</v>
      </c>
      <c r="BB58" s="230">
        <v>0</v>
      </c>
      <c r="BC58" s="230">
        <v>0</v>
      </c>
      <c r="BD58" s="230">
        <v>0</v>
      </c>
    </row>
    <row r="59" spans="1:56" x14ac:dyDescent="0.25">
      <c r="A59" s="3" t="str">
        <f>$A$3&amp;"1_AI_XD"</f>
        <v>BXX_DTY1_DP1_AI_XD</v>
      </c>
      <c r="B59" s="6" t="str">
        <f t="shared" si="7"/>
        <v>BXX_DTY1_DP</v>
      </c>
      <c r="C59" s="6" t="str">
        <f>$C$3 &amp; " 1 Level for Max. Speed"</f>
        <v>Station Pump Duty 1 Level for Max. Speed</v>
      </c>
      <c r="D59" s="4">
        <f t="shared" si="10"/>
        <v>40</v>
      </c>
      <c r="E59" s="228" t="s">
        <v>1</v>
      </c>
      <c r="F59" s="228" t="s">
        <v>0</v>
      </c>
      <c r="G59" s="2">
        <v>900</v>
      </c>
      <c r="H59" s="228" t="s">
        <v>0</v>
      </c>
      <c r="I59" s="228" t="s">
        <v>1</v>
      </c>
      <c r="J59" s="228">
        <v>0</v>
      </c>
      <c r="K59" s="228">
        <v>0</v>
      </c>
      <c r="L59" s="239" t="s">
        <v>99</v>
      </c>
      <c r="M59" s="239">
        <v>0</v>
      </c>
      <c r="N59" s="228">
        <v>0</v>
      </c>
      <c r="O59" s="228">
        <v>100</v>
      </c>
      <c r="P59" s="228">
        <v>0</v>
      </c>
      <c r="Q59" s="228">
        <v>0</v>
      </c>
      <c r="R59" s="228" t="s">
        <v>40</v>
      </c>
      <c r="S59" s="228">
        <v>0</v>
      </c>
      <c r="T59" s="228">
        <v>1</v>
      </c>
      <c r="U59" s="228" t="s">
        <v>40</v>
      </c>
      <c r="V59" s="228">
        <v>0</v>
      </c>
      <c r="W59" s="228">
        <v>1</v>
      </c>
      <c r="X59" s="228" t="s">
        <v>40</v>
      </c>
      <c r="Y59" s="228">
        <v>0</v>
      </c>
      <c r="Z59" s="228">
        <v>1</v>
      </c>
      <c r="AA59" s="228" t="s">
        <v>40</v>
      </c>
      <c r="AB59" s="228">
        <v>0</v>
      </c>
      <c r="AC59" s="228">
        <v>1</v>
      </c>
      <c r="AD59" s="228" t="s">
        <v>40</v>
      </c>
      <c r="AE59" s="228">
        <v>0</v>
      </c>
      <c r="AF59" s="228">
        <v>1</v>
      </c>
      <c r="AG59" s="228" t="s">
        <v>40</v>
      </c>
      <c r="AH59" s="228">
        <v>0</v>
      </c>
      <c r="AI59" s="228">
        <v>1</v>
      </c>
      <c r="AJ59" s="228">
        <v>0</v>
      </c>
      <c r="AK59" s="228" t="s">
        <v>40</v>
      </c>
      <c r="AL59" s="228">
        <v>0</v>
      </c>
      <c r="AM59" s="228">
        <v>1</v>
      </c>
      <c r="AN59" s="228" t="s">
        <v>98</v>
      </c>
      <c r="AO59" s="228">
        <v>0</v>
      </c>
      <c r="AP59" s="228">
        <v>100</v>
      </c>
      <c r="AQ59" s="228" t="s">
        <v>106</v>
      </c>
      <c r="AR59" s="6" t="str">
        <f t="shared" si="5"/>
        <v>BXX</v>
      </c>
      <c r="AS59" s="228" t="s">
        <v>1</v>
      </c>
      <c r="AT59" s="6" t="str">
        <f>$A$3&amp;".DTY1_STS.AI_XD"</f>
        <v>BXX_DTY1_DP.DTY1_STS.AI_XD</v>
      </c>
      <c r="AU59" s="228" t="s">
        <v>1</v>
      </c>
      <c r="AV59" s="6" t="str">
        <f t="shared" si="11"/>
        <v>Station Pump Duty 1 Level for Max. Speed</v>
      </c>
      <c r="AW59" s="228">
        <v>0</v>
      </c>
      <c r="AX59" s="228">
        <v>0</v>
      </c>
      <c r="AY59" s="228">
        <v>0</v>
      </c>
      <c r="AZ59" s="228">
        <v>0</v>
      </c>
      <c r="BA59" s="228">
        <v>0</v>
      </c>
      <c r="BB59" s="228">
        <v>0</v>
      </c>
      <c r="BC59" s="228">
        <v>0</v>
      </c>
      <c r="BD59" s="228">
        <v>0</v>
      </c>
    </row>
    <row r="60" spans="1:56" x14ac:dyDescent="0.25">
      <c r="A60" s="3" t="str">
        <f>$A$3&amp;"2_AI_XD"</f>
        <v>BXX_DTY1_DP2_AI_XD</v>
      </c>
      <c r="B60" s="6" t="str">
        <f t="shared" si="7"/>
        <v>BXX_DTY1_DP</v>
      </c>
      <c r="C60" s="6" t="str">
        <f>$C$3 &amp; " 2 Level for Max. Speed"</f>
        <v>Station Pump Duty 2 Level for Max. Speed</v>
      </c>
      <c r="D60" s="4">
        <f t="shared" si="10"/>
        <v>40</v>
      </c>
      <c r="E60" s="228" t="s">
        <v>1</v>
      </c>
      <c r="F60" s="228" t="s">
        <v>0</v>
      </c>
      <c r="G60" s="2">
        <v>900</v>
      </c>
      <c r="H60" s="228" t="s">
        <v>0</v>
      </c>
      <c r="I60" s="228" t="s">
        <v>1</v>
      </c>
      <c r="J60" s="228">
        <v>0</v>
      </c>
      <c r="K60" s="228">
        <v>0</v>
      </c>
      <c r="L60" s="239" t="s">
        <v>99</v>
      </c>
      <c r="M60" s="239">
        <v>0</v>
      </c>
      <c r="N60" s="228">
        <v>0</v>
      </c>
      <c r="O60" s="228">
        <v>100</v>
      </c>
      <c r="P60" s="228">
        <v>0</v>
      </c>
      <c r="Q60" s="228">
        <v>0</v>
      </c>
      <c r="R60" s="228" t="s">
        <v>40</v>
      </c>
      <c r="S60" s="228">
        <v>0</v>
      </c>
      <c r="T60" s="228">
        <v>1</v>
      </c>
      <c r="U60" s="228" t="s">
        <v>40</v>
      </c>
      <c r="V60" s="228">
        <v>0</v>
      </c>
      <c r="W60" s="228">
        <v>1</v>
      </c>
      <c r="X60" s="228" t="s">
        <v>40</v>
      </c>
      <c r="Y60" s="228">
        <v>0</v>
      </c>
      <c r="Z60" s="228">
        <v>1</v>
      </c>
      <c r="AA60" s="228" t="s">
        <v>40</v>
      </c>
      <c r="AB60" s="228">
        <v>0</v>
      </c>
      <c r="AC60" s="228">
        <v>1</v>
      </c>
      <c r="AD60" s="228" t="s">
        <v>40</v>
      </c>
      <c r="AE60" s="228">
        <v>0</v>
      </c>
      <c r="AF60" s="228">
        <v>1</v>
      </c>
      <c r="AG60" s="228" t="s">
        <v>40</v>
      </c>
      <c r="AH60" s="228">
        <v>0</v>
      </c>
      <c r="AI60" s="228">
        <v>1</v>
      </c>
      <c r="AJ60" s="228">
        <v>0</v>
      </c>
      <c r="AK60" s="228" t="s">
        <v>40</v>
      </c>
      <c r="AL60" s="228">
        <v>0</v>
      </c>
      <c r="AM60" s="228">
        <v>1</v>
      </c>
      <c r="AN60" s="228" t="s">
        <v>98</v>
      </c>
      <c r="AO60" s="228">
        <v>0</v>
      </c>
      <c r="AP60" s="228">
        <v>100</v>
      </c>
      <c r="AQ60" s="228" t="s">
        <v>106</v>
      </c>
      <c r="AR60" s="6" t="str">
        <f t="shared" si="5"/>
        <v>BXX</v>
      </c>
      <c r="AS60" s="228" t="s">
        <v>1</v>
      </c>
      <c r="AT60" s="6" t="str">
        <f>$A$3&amp;".DTY2_STS.AI_XD"</f>
        <v>BXX_DTY1_DP.DTY2_STS.AI_XD</v>
      </c>
      <c r="AU60" s="228" t="s">
        <v>1</v>
      </c>
      <c r="AV60" s="6" t="str">
        <f t="shared" si="11"/>
        <v>Station Pump Duty 2 Level for Max. Speed</v>
      </c>
      <c r="AW60" s="228">
        <v>0</v>
      </c>
      <c r="AX60" s="228">
        <v>0</v>
      </c>
      <c r="AY60" s="228">
        <v>0</v>
      </c>
      <c r="AZ60" s="228">
        <v>0</v>
      </c>
      <c r="BA60" s="228">
        <v>0</v>
      </c>
      <c r="BB60" s="228">
        <v>0</v>
      </c>
      <c r="BC60" s="228">
        <v>0</v>
      </c>
      <c r="BD60" s="228">
        <v>0</v>
      </c>
    </row>
    <row r="61" spans="1:56" x14ac:dyDescent="0.25">
      <c r="A61" s="3" t="str">
        <f>$A$3&amp;"3_AI_XD"</f>
        <v>BXX_DTY1_DP3_AI_XD</v>
      </c>
      <c r="B61" s="6" t="str">
        <f t="shared" si="7"/>
        <v>BXX_DTY1_DP</v>
      </c>
      <c r="C61" s="6" t="str">
        <f>$C$3 &amp; " 3 Level for Max. Speed"</f>
        <v>Station Pump Duty 3 Level for Max. Speed</v>
      </c>
      <c r="D61" s="4">
        <f t="shared" si="10"/>
        <v>40</v>
      </c>
      <c r="E61" s="230" t="s">
        <v>1</v>
      </c>
      <c r="F61" s="230" t="s">
        <v>0</v>
      </c>
      <c r="G61" s="2">
        <v>900</v>
      </c>
      <c r="H61" s="230" t="s">
        <v>0</v>
      </c>
      <c r="I61" s="230" t="s">
        <v>1</v>
      </c>
      <c r="J61" s="230">
        <v>0</v>
      </c>
      <c r="K61" s="230">
        <v>0</v>
      </c>
      <c r="L61" s="239" t="s">
        <v>99</v>
      </c>
      <c r="M61" s="239">
        <v>0</v>
      </c>
      <c r="N61" s="230">
        <v>0</v>
      </c>
      <c r="O61" s="230">
        <v>100</v>
      </c>
      <c r="P61" s="230">
        <v>0</v>
      </c>
      <c r="Q61" s="230">
        <v>0</v>
      </c>
      <c r="R61" s="230" t="s">
        <v>40</v>
      </c>
      <c r="S61" s="230">
        <v>0</v>
      </c>
      <c r="T61" s="230">
        <v>1</v>
      </c>
      <c r="U61" s="230" t="s">
        <v>40</v>
      </c>
      <c r="V61" s="230">
        <v>0</v>
      </c>
      <c r="W61" s="230">
        <v>1</v>
      </c>
      <c r="X61" s="230" t="s">
        <v>40</v>
      </c>
      <c r="Y61" s="230">
        <v>0</v>
      </c>
      <c r="Z61" s="230">
        <v>1</v>
      </c>
      <c r="AA61" s="230" t="s">
        <v>40</v>
      </c>
      <c r="AB61" s="230">
        <v>0</v>
      </c>
      <c r="AC61" s="230">
        <v>1</v>
      </c>
      <c r="AD61" s="230" t="s">
        <v>40</v>
      </c>
      <c r="AE61" s="230">
        <v>0</v>
      </c>
      <c r="AF61" s="230">
        <v>1</v>
      </c>
      <c r="AG61" s="230" t="s">
        <v>40</v>
      </c>
      <c r="AH61" s="230">
        <v>0</v>
      </c>
      <c r="AI61" s="230">
        <v>1</v>
      </c>
      <c r="AJ61" s="230">
        <v>0</v>
      </c>
      <c r="AK61" s="230" t="s">
        <v>40</v>
      </c>
      <c r="AL61" s="230">
        <v>0</v>
      </c>
      <c r="AM61" s="230">
        <v>1</v>
      </c>
      <c r="AN61" s="230" t="s">
        <v>98</v>
      </c>
      <c r="AO61" s="230">
        <v>0</v>
      </c>
      <c r="AP61" s="230">
        <v>100</v>
      </c>
      <c r="AQ61" s="230" t="s">
        <v>106</v>
      </c>
      <c r="AR61" s="6" t="str">
        <f t="shared" si="5"/>
        <v>BXX</v>
      </c>
      <c r="AS61" s="230" t="s">
        <v>1</v>
      </c>
      <c r="AT61" s="6" t="str">
        <f>$A$3&amp;".DTY3_STS.AI_XD"</f>
        <v>BXX_DTY1_DP.DTY3_STS.AI_XD</v>
      </c>
      <c r="AU61" s="230" t="s">
        <v>1</v>
      </c>
      <c r="AV61" s="6" t="str">
        <f t="shared" si="11"/>
        <v>Station Pump Duty 3 Level for Max. Speed</v>
      </c>
      <c r="AW61" s="230">
        <v>0</v>
      </c>
      <c r="AX61" s="230">
        <v>0</v>
      </c>
      <c r="AY61" s="230">
        <v>0</v>
      </c>
      <c r="AZ61" s="230">
        <v>0</v>
      </c>
      <c r="BA61" s="230">
        <v>0</v>
      </c>
      <c r="BB61" s="230">
        <v>0</v>
      </c>
      <c r="BC61" s="230">
        <v>0</v>
      </c>
      <c r="BD61" s="230">
        <v>0</v>
      </c>
    </row>
    <row r="62" spans="1:56" x14ac:dyDescent="0.25">
      <c r="A62" s="3" t="str">
        <f>$A$3&amp;"4_AI_XD"</f>
        <v>BXX_DTY1_DP4_AI_XD</v>
      </c>
      <c r="B62" s="6" t="str">
        <f t="shared" si="7"/>
        <v>BXX_DTY1_DP</v>
      </c>
      <c r="C62" s="6" t="str">
        <f>$C$3 &amp; " 4 Level for Max. Speed"</f>
        <v>Station Pump Duty 4 Level for Max. Speed</v>
      </c>
      <c r="D62" s="4">
        <f t="shared" si="10"/>
        <v>40</v>
      </c>
      <c r="E62" s="230" t="s">
        <v>1</v>
      </c>
      <c r="F62" s="230" t="s">
        <v>0</v>
      </c>
      <c r="G62" s="2">
        <v>900</v>
      </c>
      <c r="H62" s="230" t="s">
        <v>0</v>
      </c>
      <c r="I62" s="230" t="s">
        <v>1</v>
      </c>
      <c r="J62" s="230">
        <v>0</v>
      </c>
      <c r="K62" s="230">
        <v>0</v>
      </c>
      <c r="L62" s="239" t="s">
        <v>99</v>
      </c>
      <c r="M62" s="239">
        <v>0</v>
      </c>
      <c r="N62" s="230">
        <v>0</v>
      </c>
      <c r="O62" s="230">
        <v>100</v>
      </c>
      <c r="P62" s="230">
        <v>0</v>
      </c>
      <c r="Q62" s="230">
        <v>0</v>
      </c>
      <c r="R62" s="230" t="s">
        <v>40</v>
      </c>
      <c r="S62" s="230">
        <v>0</v>
      </c>
      <c r="T62" s="230">
        <v>1</v>
      </c>
      <c r="U62" s="230" t="s">
        <v>40</v>
      </c>
      <c r="V62" s="230">
        <v>0</v>
      </c>
      <c r="W62" s="230">
        <v>1</v>
      </c>
      <c r="X62" s="230" t="s">
        <v>40</v>
      </c>
      <c r="Y62" s="230">
        <v>0</v>
      </c>
      <c r="Z62" s="230">
        <v>1</v>
      </c>
      <c r="AA62" s="230" t="s">
        <v>40</v>
      </c>
      <c r="AB62" s="230">
        <v>0</v>
      </c>
      <c r="AC62" s="230">
        <v>1</v>
      </c>
      <c r="AD62" s="230" t="s">
        <v>40</v>
      </c>
      <c r="AE62" s="230">
        <v>0</v>
      </c>
      <c r="AF62" s="230">
        <v>1</v>
      </c>
      <c r="AG62" s="230" t="s">
        <v>40</v>
      </c>
      <c r="AH62" s="230">
        <v>0</v>
      </c>
      <c r="AI62" s="230">
        <v>1</v>
      </c>
      <c r="AJ62" s="230">
        <v>0</v>
      </c>
      <c r="AK62" s="230" t="s">
        <v>40</v>
      </c>
      <c r="AL62" s="230">
        <v>0</v>
      </c>
      <c r="AM62" s="230">
        <v>1</v>
      </c>
      <c r="AN62" s="230" t="s">
        <v>98</v>
      </c>
      <c r="AO62" s="230">
        <v>0</v>
      </c>
      <c r="AP62" s="230">
        <v>100</v>
      </c>
      <c r="AQ62" s="230" t="s">
        <v>106</v>
      </c>
      <c r="AR62" s="6" t="str">
        <f t="shared" si="5"/>
        <v>BXX</v>
      </c>
      <c r="AS62" s="230" t="s">
        <v>1</v>
      </c>
      <c r="AT62" s="6" t="str">
        <f>$A$3&amp;".DTY4_STS.AI_XD"</f>
        <v>BXX_DTY1_DP.DTY4_STS.AI_XD</v>
      </c>
      <c r="AU62" s="230" t="s">
        <v>1</v>
      </c>
      <c r="AV62" s="6" t="str">
        <f t="shared" si="11"/>
        <v>Station Pump Duty 4 Level for Max. Speed</v>
      </c>
      <c r="AW62" s="230">
        <v>0</v>
      </c>
      <c r="AX62" s="230">
        <v>0</v>
      </c>
      <c r="AY62" s="230">
        <v>0</v>
      </c>
      <c r="AZ62" s="230">
        <v>0</v>
      </c>
      <c r="BA62" s="230">
        <v>0</v>
      </c>
      <c r="BB62" s="230">
        <v>0</v>
      </c>
      <c r="BC62" s="230">
        <v>0</v>
      </c>
      <c r="BD62" s="230">
        <v>0</v>
      </c>
    </row>
    <row r="63" spans="1:56" x14ac:dyDescent="0.25">
      <c r="A63" s="3" t="str">
        <f>$A$3&amp;"1_AO_XD"</f>
        <v>BXX_DTY1_DP1_AO_XD</v>
      </c>
      <c r="B63" s="6" t="str">
        <f t="shared" si="7"/>
        <v>BXX_DTY1_DP</v>
      </c>
      <c r="C63" s="6" t="str">
        <f>$C$3 &amp; " 1 Level for Max. Speed Entry"</f>
        <v>Station Pump Duty 1 Level for Max. Speed Entry</v>
      </c>
      <c r="D63" s="4">
        <f t="shared" si="10"/>
        <v>46</v>
      </c>
      <c r="E63" s="228" t="s">
        <v>1</v>
      </c>
      <c r="F63" s="228" t="s">
        <v>0</v>
      </c>
      <c r="G63" s="2">
        <v>900</v>
      </c>
      <c r="H63" s="228" t="s">
        <v>0</v>
      </c>
      <c r="I63" s="228" t="s">
        <v>1</v>
      </c>
      <c r="J63" s="228">
        <v>0</v>
      </c>
      <c r="K63" s="228">
        <v>0</v>
      </c>
      <c r="L63" s="239" t="s">
        <v>99</v>
      </c>
      <c r="M63" s="239">
        <v>0</v>
      </c>
      <c r="N63" s="228">
        <v>0</v>
      </c>
      <c r="O63" s="228">
        <v>100</v>
      </c>
      <c r="P63" s="228">
        <v>0</v>
      </c>
      <c r="Q63" s="228">
        <v>0</v>
      </c>
      <c r="R63" s="228" t="s">
        <v>40</v>
      </c>
      <c r="S63" s="228">
        <v>0</v>
      </c>
      <c r="T63" s="228">
        <v>1</v>
      </c>
      <c r="U63" s="228" t="s">
        <v>40</v>
      </c>
      <c r="V63" s="228">
        <v>0</v>
      </c>
      <c r="W63" s="228">
        <v>1</v>
      </c>
      <c r="X63" s="228" t="s">
        <v>40</v>
      </c>
      <c r="Y63" s="228">
        <v>0</v>
      </c>
      <c r="Z63" s="228">
        <v>1</v>
      </c>
      <c r="AA63" s="228" t="s">
        <v>40</v>
      </c>
      <c r="AB63" s="228">
        <v>0</v>
      </c>
      <c r="AC63" s="228">
        <v>1</v>
      </c>
      <c r="AD63" s="228" t="s">
        <v>40</v>
      </c>
      <c r="AE63" s="228">
        <v>0</v>
      </c>
      <c r="AF63" s="228">
        <v>1</v>
      </c>
      <c r="AG63" s="228" t="s">
        <v>40</v>
      </c>
      <c r="AH63" s="228">
        <v>0</v>
      </c>
      <c r="AI63" s="228">
        <v>1</v>
      </c>
      <c r="AJ63" s="228">
        <v>0</v>
      </c>
      <c r="AK63" s="228" t="s">
        <v>40</v>
      </c>
      <c r="AL63" s="228">
        <v>0</v>
      </c>
      <c r="AM63" s="228">
        <v>1</v>
      </c>
      <c r="AN63" s="228" t="s">
        <v>98</v>
      </c>
      <c r="AO63" s="228">
        <v>0</v>
      </c>
      <c r="AP63" s="228">
        <v>100</v>
      </c>
      <c r="AQ63" s="228" t="s">
        <v>106</v>
      </c>
      <c r="AR63" s="6" t="str">
        <f t="shared" si="5"/>
        <v>BXX</v>
      </c>
      <c r="AS63" s="228" t="s">
        <v>1</v>
      </c>
      <c r="AT63" s="6" t="str">
        <f>$A$3&amp;".DTY1_STS.AO_XD"</f>
        <v>BXX_DTY1_DP.DTY1_STS.AO_XD</v>
      </c>
      <c r="AU63" s="228" t="s">
        <v>1</v>
      </c>
      <c r="AV63" s="6" t="str">
        <f t="shared" si="11"/>
        <v>Station Pump Duty 1 Level for Max. Speed Entry</v>
      </c>
      <c r="AW63" s="228">
        <v>0</v>
      </c>
      <c r="AX63" s="228">
        <v>0</v>
      </c>
      <c r="AY63" s="228">
        <v>0</v>
      </c>
      <c r="AZ63" s="228">
        <v>0</v>
      </c>
      <c r="BA63" s="228">
        <v>0</v>
      </c>
      <c r="BB63" s="228">
        <v>0</v>
      </c>
      <c r="BC63" s="228">
        <v>0</v>
      </c>
      <c r="BD63" s="228">
        <v>0</v>
      </c>
    </row>
    <row r="64" spans="1:56" x14ac:dyDescent="0.25">
      <c r="A64" s="3" t="str">
        <f>$A$3&amp;"2_AO_XD"</f>
        <v>BXX_DTY1_DP2_AO_XD</v>
      </c>
      <c r="B64" s="6" t="str">
        <f t="shared" si="7"/>
        <v>BXX_DTY1_DP</v>
      </c>
      <c r="C64" s="6" t="str">
        <f>$C$3 &amp; " 2 Level for Max. Speed Entry"</f>
        <v>Station Pump Duty 2 Level for Max. Speed Entry</v>
      </c>
      <c r="D64" s="4">
        <f t="shared" si="10"/>
        <v>46</v>
      </c>
      <c r="E64" s="228" t="s">
        <v>1</v>
      </c>
      <c r="F64" s="228" t="s">
        <v>0</v>
      </c>
      <c r="G64" s="2">
        <v>900</v>
      </c>
      <c r="H64" s="228" t="s">
        <v>0</v>
      </c>
      <c r="I64" s="228" t="s">
        <v>1</v>
      </c>
      <c r="J64" s="228">
        <v>0</v>
      </c>
      <c r="K64" s="228">
        <v>0</v>
      </c>
      <c r="L64" s="239" t="s">
        <v>99</v>
      </c>
      <c r="M64" s="239">
        <v>0</v>
      </c>
      <c r="N64" s="228">
        <v>0</v>
      </c>
      <c r="O64" s="228">
        <v>100</v>
      </c>
      <c r="P64" s="228">
        <v>0</v>
      </c>
      <c r="Q64" s="228">
        <v>0</v>
      </c>
      <c r="R64" s="228" t="s">
        <v>40</v>
      </c>
      <c r="S64" s="228">
        <v>0</v>
      </c>
      <c r="T64" s="228">
        <v>1</v>
      </c>
      <c r="U64" s="228" t="s">
        <v>40</v>
      </c>
      <c r="V64" s="228">
        <v>0</v>
      </c>
      <c r="W64" s="228">
        <v>1</v>
      </c>
      <c r="X64" s="228" t="s">
        <v>40</v>
      </c>
      <c r="Y64" s="228">
        <v>0</v>
      </c>
      <c r="Z64" s="228">
        <v>1</v>
      </c>
      <c r="AA64" s="228" t="s">
        <v>40</v>
      </c>
      <c r="AB64" s="228">
        <v>0</v>
      </c>
      <c r="AC64" s="228">
        <v>1</v>
      </c>
      <c r="AD64" s="228" t="s">
        <v>40</v>
      </c>
      <c r="AE64" s="228">
        <v>0</v>
      </c>
      <c r="AF64" s="228">
        <v>1</v>
      </c>
      <c r="AG64" s="228" t="s">
        <v>40</v>
      </c>
      <c r="AH64" s="228">
        <v>0</v>
      </c>
      <c r="AI64" s="228">
        <v>1</v>
      </c>
      <c r="AJ64" s="228">
        <v>0</v>
      </c>
      <c r="AK64" s="228" t="s">
        <v>40</v>
      </c>
      <c r="AL64" s="228">
        <v>0</v>
      </c>
      <c r="AM64" s="228">
        <v>1</v>
      </c>
      <c r="AN64" s="228" t="s">
        <v>98</v>
      </c>
      <c r="AO64" s="228">
        <v>0</v>
      </c>
      <c r="AP64" s="228">
        <v>100</v>
      </c>
      <c r="AQ64" s="228" t="s">
        <v>106</v>
      </c>
      <c r="AR64" s="6" t="str">
        <f t="shared" si="5"/>
        <v>BXX</v>
      </c>
      <c r="AS64" s="228" t="s">
        <v>1</v>
      </c>
      <c r="AT64" s="6" t="str">
        <f>$A$3&amp;".DTY2_STS.AO_XD"</f>
        <v>BXX_DTY1_DP.DTY2_STS.AO_XD</v>
      </c>
      <c r="AU64" s="228" t="s">
        <v>1</v>
      </c>
      <c r="AV64" s="6" t="str">
        <f t="shared" si="11"/>
        <v>Station Pump Duty 2 Level for Max. Speed Entry</v>
      </c>
      <c r="AW64" s="228">
        <v>0</v>
      </c>
      <c r="AX64" s="228">
        <v>0</v>
      </c>
      <c r="AY64" s="228">
        <v>0</v>
      </c>
      <c r="AZ64" s="228">
        <v>0</v>
      </c>
      <c r="BA64" s="228">
        <v>0</v>
      </c>
      <c r="BB64" s="228">
        <v>0</v>
      </c>
      <c r="BC64" s="228">
        <v>0</v>
      </c>
      <c r="BD64" s="228">
        <v>0</v>
      </c>
    </row>
    <row r="65" spans="1:56" x14ac:dyDescent="0.25">
      <c r="A65" s="3" t="str">
        <f>$A$3&amp;"3_AO_XD"</f>
        <v>BXX_DTY1_DP3_AO_XD</v>
      </c>
      <c r="B65" s="6" t="str">
        <f t="shared" si="7"/>
        <v>BXX_DTY1_DP</v>
      </c>
      <c r="C65" s="6" t="str">
        <f>$C$3 &amp; " 3 Level for Max. Speed Entry"</f>
        <v>Station Pump Duty 3 Level for Max. Speed Entry</v>
      </c>
      <c r="D65" s="4">
        <f t="shared" si="10"/>
        <v>46</v>
      </c>
      <c r="E65" s="230" t="s">
        <v>1</v>
      </c>
      <c r="F65" s="230" t="s">
        <v>0</v>
      </c>
      <c r="G65" s="2">
        <v>900</v>
      </c>
      <c r="H65" s="230" t="s">
        <v>0</v>
      </c>
      <c r="I65" s="230" t="s">
        <v>1</v>
      </c>
      <c r="J65" s="230">
        <v>0</v>
      </c>
      <c r="K65" s="230">
        <v>0</v>
      </c>
      <c r="L65" s="239" t="s">
        <v>99</v>
      </c>
      <c r="M65" s="239">
        <v>0</v>
      </c>
      <c r="N65" s="230">
        <v>0</v>
      </c>
      <c r="O65" s="230">
        <v>100</v>
      </c>
      <c r="P65" s="230">
        <v>0</v>
      </c>
      <c r="Q65" s="230">
        <v>0</v>
      </c>
      <c r="R65" s="230" t="s">
        <v>40</v>
      </c>
      <c r="S65" s="230">
        <v>0</v>
      </c>
      <c r="T65" s="230">
        <v>1</v>
      </c>
      <c r="U65" s="230" t="s">
        <v>40</v>
      </c>
      <c r="V65" s="230">
        <v>0</v>
      </c>
      <c r="W65" s="230">
        <v>1</v>
      </c>
      <c r="X65" s="230" t="s">
        <v>40</v>
      </c>
      <c r="Y65" s="230">
        <v>0</v>
      </c>
      <c r="Z65" s="230">
        <v>1</v>
      </c>
      <c r="AA65" s="230" t="s">
        <v>40</v>
      </c>
      <c r="AB65" s="230">
        <v>0</v>
      </c>
      <c r="AC65" s="230">
        <v>1</v>
      </c>
      <c r="AD65" s="230" t="s">
        <v>40</v>
      </c>
      <c r="AE65" s="230">
        <v>0</v>
      </c>
      <c r="AF65" s="230">
        <v>1</v>
      </c>
      <c r="AG65" s="230" t="s">
        <v>40</v>
      </c>
      <c r="AH65" s="230">
        <v>0</v>
      </c>
      <c r="AI65" s="230">
        <v>1</v>
      </c>
      <c r="AJ65" s="230">
        <v>0</v>
      </c>
      <c r="AK65" s="230" t="s">
        <v>40</v>
      </c>
      <c r="AL65" s="230">
        <v>0</v>
      </c>
      <c r="AM65" s="230">
        <v>1</v>
      </c>
      <c r="AN65" s="230" t="s">
        <v>98</v>
      </c>
      <c r="AO65" s="230">
        <v>0</v>
      </c>
      <c r="AP65" s="230">
        <v>100</v>
      </c>
      <c r="AQ65" s="230" t="s">
        <v>106</v>
      </c>
      <c r="AR65" s="6" t="str">
        <f t="shared" si="5"/>
        <v>BXX</v>
      </c>
      <c r="AS65" s="230" t="s">
        <v>1</v>
      </c>
      <c r="AT65" s="6" t="str">
        <f>$A$3&amp;".DTY3_STS.AO_XD"</f>
        <v>BXX_DTY1_DP.DTY3_STS.AO_XD</v>
      </c>
      <c r="AU65" s="230" t="s">
        <v>1</v>
      </c>
      <c r="AV65" s="6" t="str">
        <f t="shared" si="11"/>
        <v>Station Pump Duty 3 Level for Max. Speed Entry</v>
      </c>
      <c r="AW65" s="230">
        <v>0</v>
      </c>
      <c r="AX65" s="230">
        <v>0</v>
      </c>
      <c r="AY65" s="230">
        <v>0</v>
      </c>
      <c r="AZ65" s="230">
        <v>0</v>
      </c>
      <c r="BA65" s="230">
        <v>0</v>
      </c>
      <c r="BB65" s="230">
        <v>0</v>
      </c>
      <c r="BC65" s="230">
        <v>0</v>
      </c>
      <c r="BD65" s="230">
        <v>0</v>
      </c>
    </row>
    <row r="66" spans="1:56" x14ac:dyDescent="0.25">
      <c r="A66" s="3" t="str">
        <f>$A$3&amp;"4_AO_XD"</f>
        <v>BXX_DTY1_DP4_AO_XD</v>
      </c>
      <c r="B66" s="6" t="str">
        <f t="shared" si="7"/>
        <v>BXX_DTY1_DP</v>
      </c>
      <c r="C66" s="6" t="str">
        <f>$C$3 &amp; " 4 Level for Max. Speed Entry"</f>
        <v>Station Pump Duty 4 Level for Max. Speed Entry</v>
      </c>
      <c r="D66" s="4">
        <f t="shared" si="10"/>
        <v>46</v>
      </c>
      <c r="E66" s="230" t="s">
        <v>1</v>
      </c>
      <c r="F66" s="230" t="s">
        <v>0</v>
      </c>
      <c r="G66" s="2">
        <v>900</v>
      </c>
      <c r="H66" s="230" t="s">
        <v>0</v>
      </c>
      <c r="I66" s="230" t="s">
        <v>1</v>
      </c>
      <c r="J66" s="230">
        <v>0</v>
      </c>
      <c r="K66" s="230">
        <v>0</v>
      </c>
      <c r="L66" s="239" t="s">
        <v>99</v>
      </c>
      <c r="M66" s="239">
        <v>0</v>
      </c>
      <c r="N66" s="230">
        <v>0</v>
      </c>
      <c r="O66" s="230">
        <v>100</v>
      </c>
      <c r="P66" s="230">
        <v>0</v>
      </c>
      <c r="Q66" s="230">
        <v>0</v>
      </c>
      <c r="R66" s="230" t="s">
        <v>40</v>
      </c>
      <c r="S66" s="230">
        <v>0</v>
      </c>
      <c r="T66" s="230">
        <v>1</v>
      </c>
      <c r="U66" s="230" t="s">
        <v>40</v>
      </c>
      <c r="V66" s="230">
        <v>0</v>
      </c>
      <c r="W66" s="230">
        <v>1</v>
      </c>
      <c r="X66" s="230" t="s">
        <v>40</v>
      </c>
      <c r="Y66" s="230">
        <v>0</v>
      </c>
      <c r="Z66" s="230">
        <v>1</v>
      </c>
      <c r="AA66" s="230" t="s">
        <v>40</v>
      </c>
      <c r="AB66" s="230">
        <v>0</v>
      </c>
      <c r="AC66" s="230">
        <v>1</v>
      </c>
      <c r="AD66" s="230" t="s">
        <v>40</v>
      </c>
      <c r="AE66" s="230">
        <v>0</v>
      </c>
      <c r="AF66" s="230">
        <v>1</v>
      </c>
      <c r="AG66" s="230" t="s">
        <v>40</v>
      </c>
      <c r="AH66" s="230">
        <v>0</v>
      </c>
      <c r="AI66" s="230">
        <v>1</v>
      </c>
      <c r="AJ66" s="230">
        <v>0</v>
      </c>
      <c r="AK66" s="230" t="s">
        <v>40</v>
      </c>
      <c r="AL66" s="230">
        <v>0</v>
      </c>
      <c r="AM66" s="230">
        <v>1</v>
      </c>
      <c r="AN66" s="230" t="s">
        <v>98</v>
      </c>
      <c r="AO66" s="230">
        <v>0</v>
      </c>
      <c r="AP66" s="230">
        <v>100</v>
      </c>
      <c r="AQ66" s="230" t="s">
        <v>106</v>
      </c>
      <c r="AR66" s="6" t="str">
        <f t="shared" si="5"/>
        <v>BXX</v>
      </c>
      <c r="AS66" s="230" t="s">
        <v>1</v>
      </c>
      <c r="AT66" s="6" t="str">
        <f>$A$3&amp;".DTY4_STS.AO_XD"</f>
        <v>BXX_DTY1_DP.DTY4_STS.AO_XD</v>
      </c>
      <c r="AU66" s="230" t="s">
        <v>1</v>
      </c>
      <c r="AV66" s="6" t="str">
        <f t="shared" si="11"/>
        <v>Station Pump Duty 4 Level for Max. Speed Entry</v>
      </c>
      <c r="AW66" s="230">
        <v>0</v>
      </c>
      <c r="AX66" s="230">
        <v>0</v>
      </c>
      <c r="AY66" s="230">
        <v>0</v>
      </c>
      <c r="AZ66" s="230">
        <v>0</v>
      </c>
      <c r="BA66" s="230">
        <v>0</v>
      </c>
      <c r="BB66" s="230">
        <v>0</v>
      </c>
      <c r="BC66" s="230">
        <v>0</v>
      </c>
      <c r="BD66" s="230">
        <v>0</v>
      </c>
    </row>
    <row r="67" spans="1:56" x14ac:dyDescent="0.25">
      <c r="A67" s="3" t="str">
        <f>$A$3&amp;"1_AI_ND"</f>
        <v>BXX_DTY1_DP1_AI_ND</v>
      </c>
      <c r="B67" s="6" t="str">
        <f t="shared" si="7"/>
        <v>BXX_DTY1_DP</v>
      </c>
      <c r="C67" s="6" t="str">
        <f>$C$3 &amp; " 1 Level for Min. Speed"</f>
        <v>Station Pump Duty 1 Level for Min. Speed</v>
      </c>
      <c r="D67" s="4">
        <f t="shared" si="10"/>
        <v>40</v>
      </c>
      <c r="E67" s="228" t="s">
        <v>1</v>
      </c>
      <c r="F67" s="239" t="s">
        <v>0</v>
      </c>
      <c r="G67" s="2">
        <v>900</v>
      </c>
      <c r="H67" s="228" t="s">
        <v>0</v>
      </c>
      <c r="I67" s="228" t="s">
        <v>1</v>
      </c>
      <c r="J67" s="228">
        <v>0</v>
      </c>
      <c r="K67" s="228">
        <v>0</v>
      </c>
      <c r="L67" s="239" t="s">
        <v>99</v>
      </c>
      <c r="M67" s="239">
        <v>0</v>
      </c>
      <c r="N67" s="228">
        <v>0</v>
      </c>
      <c r="O67" s="228">
        <v>100</v>
      </c>
      <c r="P67" s="228">
        <v>0</v>
      </c>
      <c r="Q67" s="228">
        <v>0</v>
      </c>
      <c r="R67" s="228" t="s">
        <v>40</v>
      </c>
      <c r="S67" s="228">
        <v>0</v>
      </c>
      <c r="T67" s="228">
        <v>1</v>
      </c>
      <c r="U67" s="228" t="s">
        <v>40</v>
      </c>
      <c r="V67" s="228">
        <v>0</v>
      </c>
      <c r="W67" s="228">
        <v>1</v>
      </c>
      <c r="X67" s="228" t="s">
        <v>40</v>
      </c>
      <c r="Y67" s="228">
        <v>0</v>
      </c>
      <c r="Z67" s="228">
        <v>1</v>
      </c>
      <c r="AA67" s="228" t="s">
        <v>40</v>
      </c>
      <c r="AB67" s="228">
        <v>0</v>
      </c>
      <c r="AC67" s="228">
        <v>1</v>
      </c>
      <c r="AD67" s="228" t="s">
        <v>40</v>
      </c>
      <c r="AE67" s="228">
        <v>0</v>
      </c>
      <c r="AF67" s="228">
        <v>1</v>
      </c>
      <c r="AG67" s="228" t="s">
        <v>40</v>
      </c>
      <c r="AH67" s="228">
        <v>0</v>
      </c>
      <c r="AI67" s="228">
        <v>1</v>
      </c>
      <c r="AJ67" s="228">
        <v>0</v>
      </c>
      <c r="AK67" s="228" t="s">
        <v>40</v>
      </c>
      <c r="AL67" s="228">
        <v>0</v>
      </c>
      <c r="AM67" s="228">
        <v>1</v>
      </c>
      <c r="AN67" s="228" t="s">
        <v>98</v>
      </c>
      <c r="AO67" s="228">
        <v>0</v>
      </c>
      <c r="AP67" s="228">
        <v>100</v>
      </c>
      <c r="AQ67" s="228" t="s">
        <v>106</v>
      </c>
      <c r="AR67" s="6" t="str">
        <f t="shared" si="5"/>
        <v>BXX</v>
      </c>
      <c r="AS67" s="228" t="s">
        <v>1</v>
      </c>
      <c r="AT67" s="6" t="str">
        <f>$A$3&amp;".DTY1_STS.AI_ND"</f>
        <v>BXX_DTY1_DP.DTY1_STS.AI_ND</v>
      </c>
      <c r="AU67" s="228" t="s">
        <v>1</v>
      </c>
      <c r="AV67" s="6" t="str">
        <f t="shared" si="11"/>
        <v>Station Pump Duty 1 Level for Min. Speed</v>
      </c>
      <c r="AW67" s="228">
        <v>0</v>
      </c>
      <c r="AX67" s="228">
        <v>0</v>
      </c>
      <c r="AY67" s="228">
        <v>0</v>
      </c>
      <c r="AZ67" s="228">
        <v>0</v>
      </c>
      <c r="BA67" s="228">
        <v>0</v>
      </c>
      <c r="BB67" s="228">
        <v>0</v>
      </c>
      <c r="BC67" s="228">
        <v>0</v>
      </c>
      <c r="BD67" s="228">
        <v>0</v>
      </c>
    </row>
    <row r="68" spans="1:56" x14ac:dyDescent="0.25">
      <c r="A68" s="3" t="str">
        <f>$A$3&amp;"2_AI_ND"</f>
        <v>BXX_DTY1_DP2_AI_ND</v>
      </c>
      <c r="B68" s="6" t="str">
        <f t="shared" si="7"/>
        <v>BXX_DTY1_DP</v>
      </c>
      <c r="C68" s="6" t="str">
        <f>$C$3 &amp; " 2 Level for Min. Speed"</f>
        <v>Station Pump Duty 2 Level for Min. Speed</v>
      </c>
      <c r="D68" s="4">
        <f t="shared" si="10"/>
        <v>40</v>
      </c>
      <c r="E68" s="228" t="s">
        <v>1</v>
      </c>
      <c r="F68" s="239" t="s">
        <v>0</v>
      </c>
      <c r="G68" s="2">
        <v>900</v>
      </c>
      <c r="H68" s="228" t="s">
        <v>0</v>
      </c>
      <c r="I68" s="228" t="s">
        <v>1</v>
      </c>
      <c r="J68" s="228">
        <v>0</v>
      </c>
      <c r="K68" s="228">
        <v>0</v>
      </c>
      <c r="L68" s="239" t="s">
        <v>99</v>
      </c>
      <c r="M68" s="239">
        <v>0</v>
      </c>
      <c r="N68" s="228">
        <v>0</v>
      </c>
      <c r="O68" s="228">
        <v>100</v>
      </c>
      <c r="P68" s="228">
        <v>0</v>
      </c>
      <c r="Q68" s="228">
        <v>0</v>
      </c>
      <c r="R68" s="228" t="s">
        <v>40</v>
      </c>
      <c r="S68" s="228">
        <v>0</v>
      </c>
      <c r="T68" s="228">
        <v>1</v>
      </c>
      <c r="U68" s="228" t="s">
        <v>40</v>
      </c>
      <c r="V68" s="228">
        <v>0</v>
      </c>
      <c r="W68" s="228">
        <v>1</v>
      </c>
      <c r="X68" s="228" t="s">
        <v>40</v>
      </c>
      <c r="Y68" s="228">
        <v>0</v>
      </c>
      <c r="Z68" s="228">
        <v>1</v>
      </c>
      <c r="AA68" s="228" t="s">
        <v>40</v>
      </c>
      <c r="AB68" s="228">
        <v>0</v>
      </c>
      <c r="AC68" s="228">
        <v>1</v>
      </c>
      <c r="AD68" s="228" t="s">
        <v>40</v>
      </c>
      <c r="AE68" s="228">
        <v>0</v>
      </c>
      <c r="AF68" s="228">
        <v>1</v>
      </c>
      <c r="AG68" s="228" t="s">
        <v>40</v>
      </c>
      <c r="AH68" s="228">
        <v>0</v>
      </c>
      <c r="AI68" s="228">
        <v>1</v>
      </c>
      <c r="AJ68" s="228">
        <v>0</v>
      </c>
      <c r="AK68" s="228" t="s">
        <v>40</v>
      </c>
      <c r="AL68" s="228">
        <v>0</v>
      </c>
      <c r="AM68" s="228">
        <v>1</v>
      </c>
      <c r="AN68" s="228" t="s">
        <v>98</v>
      </c>
      <c r="AO68" s="228">
        <v>0</v>
      </c>
      <c r="AP68" s="228">
        <v>100</v>
      </c>
      <c r="AQ68" s="228" t="s">
        <v>106</v>
      </c>
      <c r="AR68" s="6" t="str">
        <f t="shared" si="5"/>
        <v>BXX</v>
      </c>
      <c r="AS68" s="228" t="s">
        <v>1</v>
      </c>
      <c r="AT68" s="6" t="str">
        <f>$A$3&amp;".DTY2_STS.AI_ND"</f>
        <v>BXX_DTY1_DP.DTY2_STS.AI_ND</v>
      </c>
      <c r="AU68" s="228" t="s">
        <v>1</v>
      </c>
      <c r="AV68" s="6" t="str">
        <f t="shared" si="11"/>
        <v>Station Pump Duty 2 Level for Min. Speed</v>
      </c>
      <c r="AW68" s="228">
        <v>0</v>
      </c>
      <c r="AX68" s="228">
        <v>0</v>
      </c>
      <c r="AY68" s="228">
        <v>0</v>
      </c>
      <c r="AZ68" s="228">
        <v>0</v>
      </c>
      <c r="BA68" s="228">
        <v>0</v>
      </c>
      <c r="BB68" s="228">
        <v>0</v>
      </c>
      <c r="BC68" s="228">
        <v>0</v>
      </c>
      <c r="BD68" s="228">
        <v>0</v>
      </c>
    </row>
    <row r="69" spans="1:56" x14ac:dyDescent="0.25">
      <c r="A69" s="3" t="str">
        <f>$A$3&amp;"3_AI_ND"</f>
        <v>BXX_DTY1_DP3_AI_ND</v>
      </c>
      <c r="B69" s="6" t="str">
        <f t="shared" si="7"/>
        <v>BXX_DTY1_DP</v>
      </c>
      <c r="C69" s="6" t="str">
        <f>$C$3 &amp; " 3 Level for Min. Speed"</f>
        <v>Station Pump Duty 3 Level for Min. Speed</v>
      </c>
      <c r="D69" s="4">
        <f t="shared" si="10"/>
        <v>40</v>
      </c>
      <c r="E69" s="230" t="s">
        <v>1</v>
      </c>
      <c r="F69" s="239" t="s">
        <v>0</v>
      </c>
      <c r="G69" s="2">
        <v>900</v>
      </c>
      <c r="H69" s="230" t="s">
        <v>0</v>
      </c>
      <c r="I69" s="230" t="s">
        <v>1</v>
      </c>
      <c r="J69" s="230">
        <v>0</v>
      </c>
      <c r="K69" s="230">
        <v>0</v>
      </c>
      <c r="L69" s="239" t="s">
        <v>99</v>
      </c>
      <c r="M69" s="239">
        <v>0</v>
      </c>
      <c r="N69" s="230">
        <v>0</v>
      </c>
      <c r="O69" s="230">
        <v>100</v>
      </c>
      <c r="P69" s="230">
        <v>0</v>
      </c>
      <c r="Q69" s="230">
        <v>0</v>
      </c>
      <c r="R69" s="230" t="s">
        <v>40</v>
      </c>
      <c r="S69" s="230">
        <v>0</v>
      </c>
      <c r="T69" s="230">
        <v>1</v>
      </c>
      <c r="U69" s="230" t="s">
        <v>40</v>
      </c>
      <c r="V69" s="230">
        <v>0</v>
      </c>
      <c r="W69" s="230">
        <v>1</v>
      </c>
      <c r="X69" s="230" t="s">
        <v>40</v>
      </c>
      <c r="Y69" s="230">
        <v>0</v>
      </c>
      <c r="Z69" s="230">
        <v>1</v>
      </c>
      <c r="AA69" s="230" t="s">
        <v>40</v>
      </c>
      <c r="AB69" s="230">
        <v>0</v>
      </c>
      <c r="AC69" s="230">
        <v>1</v>
      </c>
      <c r="AD69" s="230" t="s">
        <v>40</v>
      </c>
      <c r="AE69" s="230">
        <v>0</v>
      </c>
      <c r="AF69" s="230">
        <v>1</v>
      </c>
      <c r="AG69" s="230" t="s">
        <v>40</v>
      </c>
      <c r="AH69" s="230">
        <v>0</v>
      </c>
      <c r="AI69" s="230">
        <v>1</v>
      </c>
      <c r="AJ69" s="230">
        <v>0</v>
      </c>
      <c r="AK69" s="230" t="s">
        <v>40</v>
      </c>
      <c r="AL69" s="230">
        <v>0</v>
      </c>
      <c r="AM69" s="230">
        <v>1</v>
      </c>
      <c r="AN69" s="230" t="s">
        <v>98</v>
      </c>
      <c r="AO69" s="230">
        <v>0</v>
      </c>
      <c r="AP69" s="230">
        <v>100</v>
      </c>
      <c r="AQ69" s="230" t="s">
        <v>106</v>
      </c>
      <c r="AR69" s="6" t="str">
        <f t="shared" si="5"/>
        <v>BXX</v>
      </c>
      <c r="AS69" s="230" t="s">
        <v>1</v>
      </c>
      <c r="AT69" s="6" t="str">
        <f>$A$3&amp;".DTY3_STS.AI_ND"</f>
        <v>BXX_DTY1_DP.DTY3_STS.AI_ND</v>
      </c>
      <c r="AU69" s="230" t="s">
        <v>1</v>
      </c>
      <c r="AV69" s="6" t="str">
        <f t="shared" si="11"/>
        <v>Station Pump Duty 3 Level for Min. Speed</v>
      </c>
      <c r="AW69" s="230">
        <v>0</v>
      </c>
      <c r="AX69" s="230">
        <v>0</v>
      </c>
      <c r="AY69" s="230">
        <v>0</v>
      </c>
      <c r="AZ69" s="230">
        <v>0</v>
      </c>
      <c r="BA69" s="230">
        <v>0</v>
      </c>
      <c r="BB69" s="230">
        <v>0</v>
      </c>
      <c r="BC69" s="230">
        <v>0</v>
      </c>
      <c r="BD69" s="230">
        <v>0</v>
      </c>
    </row>
    <row r="70" spans="1:56" x14ac:dyDescent="0.25">
      <c r="A70" s="3" t="str">
        <f>$A$3&amp;"4_AI_ND"</f>
        <v>BXX_DTY1_DP4_AI_ND</v>
      </c>
      <c r="B70" s="6" t="str">
        <f t="shared" si="7"/>
        <v>BXX_DTY1_DP</v>
      </c>
      <c r="C70" s="6" t="str">
        <f>$C$3 &amp; " 4 Level for Min. Speed"</f>
        <v>Station Pump Duty 4 Level for Min. Speed</v>
      </c>
      <c r="D70" s="4">
        <f t="shared" si="10"/>
        <v>40</v>
      </c>
      <c r="E70" s="230" t="s">
        <v>1</v>
      </c>
      <c r="F70" s="239" t="s">
        <v>0</v>
      </c>
      <c r="G70" s="2">
        <v>900</v>
      </c>
      <c r="H70" s="230" t="s">
        <v>0</v>
      </c>
      <c r="I70" s="230" t="s">
        <v>1</v>
      </c>
      <c r="J70" s="230">
        <v>0</v>
      </c>
      <c r="K70" s="230">
        <v>0</v>
      </c>
      <c r="L70" s="239" t="s">
        <v>99</v>
      </c>
      <c r="M70" s="239">
        <v>0</v>
      </c>
      <c r="N70" s="230">
        <v>0</v>
      </c>
      <c r="O70" s="230">
        <v>100</v>
      </c>
      <c r="P70" s="230">
        <v>0</v>
      </c>
      <c r="Q70" s="230">
        <v>0</v>
      </c>
      <c r="R70" s="230" t="s">
        <v>40</v>
      </c>
      <c r="S70" s="230">
        <v>0</v>
      </c>
      <c r="T70" s="230">
        <v>1</v>
      </c>
      <c r="U70" s="230" t="s">
        <v>40</v>
      </c>
      <c r="V70" s="230">
        <v>0</v>
      </c>
      <c r="W70" s="230">
        <v>1</v>
      </c>
      <c r="X70" s="230" t="s">
        <v>40</v>
      </c>
      <c r="Y70" s="230">
        <v>0</v>
      </c>
      <c r="Z70" s="230">
        <v>1</v>
      </c>
      <c r="AA70" s="230" t="s">
        <v>40</v>
      </c>
      <c r="AB70" s="230">
        <v>0</v>
      </c>
      <c r="AC70" s="230">
        <v>1</v>
      </c>
      <c r="AD70" s="230" t="s">
        <v>40</v>
      </c>
      <c r="AE70" s="230">
        <v>0</v>
      </c>
      <c r="AF70" s="230">
        <v>1</v>
      </c>
      <c r="AG70" s="230" t="s">
        <v>40</v>
      </c>
      <c r="AH70" s="230">
        <v>0</v>
      </c>
      <c r="AI70" s="230">
        <v>1</v>
      </c>
      <c r="AJ70" s="230">
        <v>0</v>
      </c>
      <c r="AK70" s="230" t="s">
        <v>40</v>
      </c>
      <c r="AL70" s="230">
        <v>0</v>
      </c>
      <c r="AM70" s="230">
        <v>1</v>
      </c>
      <c r="AN70" s="230" t="s">
        <v>98</v>
      </c>
      <c r="AO70" s="230">
        <v>0</v>
      </c>
      <c r="AP70" s="230">
        <v>100</v>
      </c>
      <c r="AQ70" s="230" t="s">
        <v>106</v>
      </c>
      <c r="AR70" s="6" t="str">
        <f t="shared" si="5"/>
        <v>BXX</v>
      </c>
      <c r="AS70" s="230" t="s">
        <v>1</v>
      </c>
      <c r="AT70" s="6" t="str">
        <f>$A$3&amp;".DTY4_STS.AI_ND"</f>
        <v>BXX_DTY1_DP.DTY4_STS.AI_ND</v>
      </c>
      <c r="AU70" s="230" t="s">
        <v>1</v>
      </c>
      <c r="AV70" s="6" t="str">
        <f t="shared" si="11"/>
        <v>Station Pump Duty 4 Level for Min. Speed</v>
      </c>
      <c r="AW70" s="230">
        <v>0</v>
      </c>
      <c r="AX70" s="230">
        <v>0</v>
      </c>
      <c r="AY70" s="230">
        <v>0</v>
      </c>
      <c r="AZ70" s="230">
        <v>0</v>
      </c>
      <c r="BA70" s="230">
        <v>0</v>
      </c>
      <c r="BB70" s="230">
        <v>0</v>
      </c>
      <c r="BC70" s="230">
        <v>0</v>
      </c>
      <c r="BD70" s="230">
        <v>0</v>
      </c>
    </row>
    <row r="71" spans="1:56" x14ac:dyDescent="0.25">
      <c r="A71" s="3" t="str">
        <f>$A$3&amp;"1_AO_ND"</f>
        <v>BXX_DTY1_DP1_AO_ND</v>
      </c>
      <c r="B71" s="6" t="str">
        <f t="shared" si="7"/>
        <v>BXX_DTY1_DP</v>
      </c>
      <c r="C71" s="6" t="str">
        <f>$C$3 &amp; " 1 Level for Min. Speed Entry"</f>
        <v>Station Pump Duty 1 Level for Min. Speed Entry</v>
      </c>
      <c r="D71" s="4">
        <f t="shared" si="10"/>
        <v>46</v>
      </c>
      <c r="E71" s="228" t="s">
        <v>1</v>
      </c>
      <c r="F71" s="239" t="s">
        <v>0</v>
      </c>
      <c r="G71" s="2">
        <v>900</v>
      </c>
      <c r="H71" s="228" t="s">
        <v>0</v>
      </c>
      <c r="I71" s="228" t="s">
        <v>1</v>
      </c>
      <c r="J71" s="228">
        <v>0</v>
      </c>
      <c r="K71" s="228">
        <v>0</v>
      </c>
      <c r="L71" s="239" t="s">
        <v>99</v>
      </c>
      <c r="M71" s="239">
        <v>0</v>
      </c>
      <c r="N71" s="228">
        <v>0</v>
      </c>
      <c r="O71" s="228">
        <v>100</v>
      </c>
      <c r="P71" s="228">
        <v>0</v>
      </c>
      <c r="Q71" s="228">
        <v>0</v>
      </c>
      <c r="R71" s="228" t="s">
        <v>40</v>
      </c>
      <c r="S71" s="228">
        <v>0</v>
      </c>
      <c r="T71" s="228">
        <v>1</v>
      </c>
      <c r="U71" s="228" t="s">
        <v>40</v>
      </c>
      <c r="V71" s="228">
        <v>0</v>
      </c>
      <c r="W71" s="228">
        <v>1</v>
      </c>
      <c r="X71" s="228" t="s">
        <v>40</v>
      </c>
      <c r="Y71" s="228">
        <v>0</v>
      </c>
      <c r="Z71" s="228">
        <v>1</v>
      </c>
      <c r="AA71" s="228" t="s">
        <v>40</v>
      </c>
      <c r="AB71" s="228">
        <v>0</v>
      </c>
      <c r="AC71" s="228">
        <v>1</v>
      </c>
      <c r="AD71" s="228" t="s">
        <v>40</v>
      </c>
      <c r="AE71" s="228">
        <v>0</v>
      </c>
      <c r="AF71" s="228">
        <v>1</v>
      </c>
      <c r="AG71" s="228" t="s">
        <v>40</v>
      </c>
      <c r="AH71" s="228">
        <v>0</v>
      </c>
      <c r="AI71" s="228">
        <v>1</v>
      </c>
      <c r="AJ71" s="228">
        <v>0</v>
      </c>
      <c r="AK71" s="228" t="s">
        <v>40</v>
      </c>
      <c r="AL71" s="228">
        <v>0</v>
      </c>
      <c r="AM71" s="228">
        <v>1</v>
      </c>
      <c r="AN71" s="228" t="s">
        <v>98</v>
      </c>
      <c r="AO71" s="228">
        <v>0</v>
      </c>
      <c r="AP71" s="228">
        <v>100</v>
      </c>
      <c r="AQ71" s="228" t="s">
        <v>106</v>
      </c>
      <c r="AR71" s="6" t="str">
        <f t="shared" si="5"/>
        <v>BXX</v>
      </c>
      <c r="AS71" s="228" t="s">
        <v>1</v>
      </c>
      <c r="AT71" s="6" t="str">
        <f>$A$3&amp;".DTY1_STS.AO_ND"</f>
        <v>BXX_DTY1_DP.DTY1_STS.AO_ND</v>
      </c>
      <c r="AU71" s="228" t="s">
        <v>1</v>
      </c>
      <c r="AV71" s="6" t="str">
        <f t="shared" si="11"/>
        <v>Station Pump Duty 1 Level for Min. Speed Entry</v>
      </c>
      <c r="AW71" s="228">
        <v>0</v>
      </c>
      <c r="AX71" s="228">
        <v>0</v>
      </c>
      <c r="AY71" s="228">
        <v>0</v>
      </c>
      <c r="AZ71" s="228">
        <v>0</v>
      </c>
      <c r="BA71" s="228">
        <v>0</v>
      </c>
      <c r="BB71" s="228">
        <v>0</v>
      </c>
      <c r="BC71" s="228">
        <v>0</v>
      </c>
      <c r="BD71" s="228">
        <v>0</v>
      </c>
    </row>
    <row r="72" spans="1:56" x14ac:dyDescent="0.25">
      <c r="A72" s="3" t="str">
        <f>$A$3&amp;"2_AO_ND"</f>
        <v>BXX_DTY1_DP2_AO_ND</v>
      </c>
      <c r="B72" s="6" t="str">
        <f t="shared" si="7"/>
        <v>BXX_DTY1_DP</v>
      </c>
      <c r="C72" s="6" t="str">
        <f>$C$3 &amp; " 2 Level for Min. Speed Entry"</f>
        <v>Station Pump Duty 2 Level for Min. Speed Entry</v>
      </c>
      <c r="D72" s="4">
        <f t="shared" si="10"/>
        <v>46</v>
      </c>
      <c r="E72" s="228" t="s">
        <v>1</v>
      </c>
      <c r="F72" s="239" t="s">
        <v>0</v>
      </c>
      <c r="G72" s="2">
        <v>900</v>
      </c>
      <c r="H72" s="228" t="s">
        <v>0</v>
      </c>
      <c r="I72" s="228" t="s">
        <v>1</v>
      </c>
      <c r="J72" s="228">
        <v>0</v>
      </c>
      <c r="K72" s="228">
        <v>0</v>
      </c>
      <c r="L72" s="239" t="s">
        <v>99</v>
      </c>
      <c r="M72" s="239">
        <v>0</v>
      </c>
      <c r="N72" s="228">
        <v>0</v>
      </c>
      <c r="O72" s="228">
        <v>100</v>
      </c>
      <c r="P72" s="228">
        <v>0</v>
      </c>
      <c r="Q72" s="228">
        <v>0</v>
      </c>
      <c r="R72" s="228" t="s">
        <v>40</v>
      </c>
      <c r="S72" s="228">
        <v>0</v>
      </c>
      <c r="T72" s="228">
        <v>1</v>
      </c>
      <c r="U72" s="228" t="s">
        <v>40</v>
      </c>
      <c r="V72" s="228">
        <v>0</v>
      </c>
      <c r="W72" s="228">
        <v>1</v>
      </c>
      <c r="X72" s="228" t="s">
        <v>40</v>
      </c>
      <c r="Y72" s="228">
        <v>0</v>
      </c>
      <c r="Z72" s="228">
        <v>1</v>
      </c>
      <c r="AA72" s="228" t="s">
        <v>40</v>
      </c>
      <c r="AB72" s="228">
        <v>0</v>
      </c>
      <c r="AC72" s="228">
        <v>1</v>
      </c>
      <c r="AD72" s="228" t="s">
        <v>40</v>
      </c>
      <c r="AE72" s="228">
        <v>0</v>
      </c>
      <c r="AF72" s="228">
        <v>1</v>
      </c>
      <c r="AG72" s="228" t="s">
        <v>40</v>
      </c>
      <c r="AH72" s="228">
        <v>0</v>
      </c>
      <c r="AI72" s="228">
        <v>1</v>
      </c>
      <c r="AJ72" s="228">
        <v>0</v>
      </c>
      <c r="AK72" s="228" t="s">
        <v>40</v>
      </c>
      <c r="AL72" s="228">
        <v>0</v>
      </c>
      <c r="AM72" s="228">
        <v>1</v>
      </c>
      <c r="AN72" s="228" t="s">
        <v>98</v>
      </c>
      <c r="AO72" s="228">
        <v>0</v>
      </c>
      <c r="AP72" s="228">
        <v>100</v>
      </c>
      <c r="AQ72" s="228" t="s">
        <v>106</v>
      </c>
      <c r="AR72" s="6" t="str">
        <f t="shared" si="5"/>
        <v>BXX</v>
      </c>
      <c r="AS72" s="228" t="s">
        <v>1</v>
      </c>
      <c r="AT72" s="6" t="str">
        <f>$A$3&amp;".DTY2_STS.AO_ND"</f>
        <v>BXX_DTY1_DP.DTY2_STS.AO_ND</v>
      </c>
      <c r="AU72" s="228" t="s">
        <v>1</v>
      </c>
      <c r="AV72" s="6" t="str">
        <f t="shared" si="11"/>
        <v>Station Pump Duty 2 Level for Min. Speed Entry</v>
      </c>
      <c r="AW72" s="228">
        <v>0</v>
      </c>
      <c r="AX72" s="228">
        <v>0</v>
      </c>
      <c r="AY72" s="228">
        <v>0</v>
      </c>
      <c r="AZ72" s="228">
        <v>0</v>
      </c>
      <c r="BA72" s="228">
        <v>0</v>
      </c>
      <c r="BB72" s="228">
        <v>0</v>
      </c>
      <c r="BC72" s="228">
        <v>0</v>
      </c>
      <c r="BD72" s="228">
        <v>0</v>
      </c>
    </row>
    <row r="73" spans="1:56" x14ac:dyDescent="0.25">
      <c r="A73" s="3" t="str">
        <f>$A$3&amp;"3_AO_ND"</f>
        <v>BXX_DTY1_DP3_AO_ND</v>
      </c>
      <c r="B73" s="6" t="str">
        <f t="shared" si="7"/>
        <v>BXX_DTY1_DP</v>
      </c>
      <c r="C73" s="6" t="str">
        <f>$C$3 &amp; " 3 Level for Min. Speed Entry"</f>
        <v>Station Pump Duty 3 Level for Min. Speed Entry</v>
      </c>
      <c r="D73" s="4">
        <f t="shared" si="10"/>
        <v>46</v>
      </c>
      <c r="E73" s="230" t="s">
        <v>1</v>
      </c>
      <c r="F73" s="239" t="s">
        <v>0</v>
      </c>
      <c r="G73" s="2">
        <v>900</v>
      </c>
      <c r="H73" s="230" t="s">
        <v>0</v>
      </c>
      <c r="I73" s="230" t="s">
        <v>1</v>
      </c>
      <c r="J73" s="230">
        <v>0</v>
      </c>
      <c r="K73" s="230">
        <v>0</v>
      </c>
      <c r="L73" s="239" t="s">
        <v>99</v>
      </c>
      <c r="M73" s="239">
        <v>0</v>
      </c>
      <c r="N73" s="230">
        <v>0</v>
      </c>
      <c r="O73" s="230">
        <v>100</v>
      </c>
      <c r="P73" s="230">
        <v>0</v>
      </c>
      <c r="Q73" s="230">
        <v>0</v>
      </c>
      <c r="R73" s="230" t="s">
        <v>40</v>
      </c>
      <c r="S73" s="230">
        <v>0</v>
      </c>
      <c r="T73" s="230">
        <v>1</v>
      </c>
      <c r="U73" s="230" t="s">
        <v>40</v>
      </c>
      <c r="V73" s="230">
        <v>0</v>
      </c>
      <c r="W73" s="230">
        <v>1</v>
      </c>
      <c r="X73" s="230" t="s">
        <v>40</v>
      </c>
      <c r="Y73" s="230">
        <v>0</v>
      </c>
      <c r="Z73" s="230">
        <v>1</v>
      </c>
      <c r="AA73" s="230" t="s">
        <v>40</v>
      </c>
      <c r="AB73" s="230">
        <v>0</v>
      </c>
      <c r="AC73" s="230">
        <v>1</v>
      </c>
      <c r="AD73" s="230" t="s">
        <v>40</v>
      </c>
      <c r="AE73" s="230">
        <v>0</v>
      </c>
      <c r="AF73" s="230">
        <v>1</v>
      </c>
      <c r="AG73" s="230" t="s">
        <v>40</v>
      </c>
      <c r="AH73" s="230">
        <v>0</v>
      </c>
      <c r="AI73" s="230">
        <v>1</v>
      </c>
      <c r="AJ73" s="230">
        <v>0</v>
      </c>
      <c r="AK73" s="230" t="s">
        <v>40</v>
      </c>
      <c r="AL73" s="230">
        <v>0</v>
      </c>
      <c r="AM73" s="230">
        <v>1</v>
      </c>
      <c r="AN73" s="230" t="s">
        <v>98</v>
      </c>
      <c r="AO73" s="230">
        <v>0</v>
      </c>
      <c r="AP73" s="230">
        <v>100</v>
      </c>
      <c r="AQ73" s="230" t="s">
        <v>106</v>
      </c>
      <c r="AR73" s="6" t="str">
        <f t="shared" si="5"/>
        <v>BXX</v>
      </c>
      <c r="AS73" s="230" t="s">
        <v>1</v>
      </c>
      <c r="AT73" s="6" t="str">
        <f>$A$3&amp;".DTY3_STS.AO_ND"</f>
        <v>BXX_DTY1_DP.DTY3_STS.AO_ND</v>
      </c>
      <c r="AU73" s="230" t="s">
        <v>1</v>
      </c>
      <c r="AV73" s="6" t="str">
        <f t="shared" si="11"/>
        <v>Station Pump Duty 3 Level for Min. Speed Entry</v>
      </c>
      <c r="AW73" s="230">
        <v>0</v>
      </c>
      <c r="AX73" s="230">
        <v>0</v>
      </c>
      <c r="AY73" s="230">
        <v>0</v>
      </c>
      <c r="AZ73" s="230">
        <v>0</v>
      </c>
      <c r="BA73" s="230">
        <v>0</v>
      </c>
      <c r="BB73" s="230">
        <v>0</v>
      </c>
      <c r="BC73" s="230">
        <v>0</v>
      </c>
      <c r="BD73" s="230">
        <v>0</v>
      </c>
    </row>
    <row r="74" spans="1:56" x14ac:dyDescent="0.25">
      <c r="A74" s="3" t="str">
        <f>$A$3&amp;"4_AO_ND"</f>
        <v>BXX_DTY1_DP4_AO_ND</v>
      </c>
      <c r="B74" s="6" t="str">
        <f t="shared" si="7"/>
        <v>BXX_DTY1_DP</v>
      </c>
      <c r="C74" s="6" t="str">
        <f>$C$3 &amp; " 4 Level for Min. Speed Entry"</f>
        <v>Station Pump Duty 4 Level for Min. Speed Entry</v>
      </c>
      <c r="D74" s="4">
        <f t="shared" si="10"/>
        <v>46</v>
      </c>
      <c r="E74" s="230" t="s">
        <v>1</v>
      </c>
      <c r="F74" s="239" t="s">
        <v>0</v>
      </c>
      <c r="G74" s="2">
        <v>900</v>
      </c>
      <c r="H74" s="230" t="s">
        <v>0</v>
      </c>
      <c r="I74" s="230" t="s">
        <v>1</v>
      </c>
      <c r="J74" s="230">
        <v>0</v>
      </c>
      <c r="K74" s="230">
        <v>0</v>
      </c>
      <c r="L74" s="239" t="s">
        <v>99</v>
      </c>
      <c r="M74" s="239">
        <v>0</v>
      </c>
      <c r="N74" s="230">
        <v>0</v>
      </c>
      <c r="O74" s="230">
        <v>100</v>
      </c>
      <c r="P74" s="230">
        <v>0</v>
      </c>
      <c r="Q74" s="230">
        <v>0</v>
      </c>
      <c r="R74" s="230" t="s">
        <v>40</v>
      </c>
      <c r="S74" s="230">
        <v>0</v>
      </c>
      <c r="T74" s="230">
        <v>1</v>
      </c>
      <c r="U74" s="230" t="s">
        <v>40</v>
      </c>
      <c r="V74" s="230">
        <v>0</v>
      </c>
      <c r="W74" s="230">
        <v>1</v>
      </c>
      <c r="X74" s="230" t="s">
        <v>40</v>
      </c>
      <c r="Y74" s="230">
        <v>0</v>
      </c>
      <c r="Z74" s="230">
        <v>1</v>
      </c>
      <c r="AA74" s="230" t="s">
        <v>40</v>
      </c>
      <c r="AB74" s="230">
        <v>0</v>
      </c>
      <c r="AC74" s="230">
        <v>1</v>
      </c>
      <c r="AD74" s="230" t="s">
        <v>40</v>
      </c>
      <c r="AE74" s="230">
        <v>0</v>
      </c>
      <c r="AF74" s="230">
        <v>1</v>
      </c>
      <c r="AG74" s="230" t="s">
        <v>40</v>
      </c>
      <c r="AH74" s="230">
        <v>0</v>
      </c>
      <c r="AI74" s="230">
        <v>1</v>
      </c>
      <c r="AJ74" s="230">
        <v>0</v>
      </c>
      <c r="AK74" s="230" t="s">
        <v>40</v>
      </c>
      <c r="AL74" s="230">
        <v>0</v>
      </c>
      <c r="AM74" s="230">
        <v>1</v>
      </c>
      <c r="AN74" s="230" t="s">
        <v>98</v>
      </c>
      <c r="AO74" s="230">
        <v>0</v>
      </c>
      <c r="AP74" s="230">
        <v>100</v>
      </c>
      <c r="AQ74" s="230" t="s">
        <v>106</v>
      </c>
      <c r="AR74" s="6" t="str">
        <f t="shared" si="5"/>
        <v>BXX</v>
      </c>
      <c r="AS74" s="230" t="s">
        <v>1</v>
      </c>
      <c r="AT74" s="6" t="str">
        <f>$A$3&amp;".DTY4_STS.AO_ND"</f>
        <v>BXX_DTY1_DP.DTY4_STS.AO_ND</v>
      </c>
      <c r="AU74" s="230" t="s">
        <v>1</v>
      </c>
      <c r="AV74" s="6" t="str">
        <f t="shared" si="11"/>
        <v>Station Pump Duty 4 Level for Min. Speed Entry</v>
      </c>
      <c r="AW74" s="230">
        <v>0</v>
      </c>
      <c r="AX74" s="230">
        <v>0</v>
      </c>
      <c r="AY74" s="230">
        <v>0</v>
      </c>
      <c r="AZ74" s="230">
        <v>0</v>
      </c>
      <c r="BA74" s="230">
        <v>0</v>
      </c>
      <c r="BB74" s="230">
        <v>0</v>
      </c>
      <c r="BC74" s="230">
        <v>0</v>
      </c>
      <c r="BD74" s="230">
        <v>0</v>
      </c>
    </row>
    <row r="75" spans="1:56" x14ac:dyDescent="0.25">
      <c r="A75" s="232" t="s">
        <v>112</v>
      </c>
      <c r="B75" s="232" t="s">
        <v>4</v>
      </c>
      <c r="C75" s="232" t="s">
        <v>5</v>
      </c>
      <c r="D75" s="4">
        <f t="shared" si="10"/>
        <v>7</v>
      </c>
      <c r="E75" s="232" t="s">
        <v>30</v>
      </c>
      <c r="F75" s="232" t="s">
        <v>6</v>
      </c>
      <c r="G75" s="232" t="s">
        <v>7</v>
      </c>
      <c r="H75" s="232" t="s">
        <v>31</v>
      </c>
      <c r="I75" s="232" t="s">
        <v>113</v>
      </c>
      <c r="J75" s="232" t="s">
        <v>114</v>
      </c>
      <c r="K75" s="232" t="s">
        <v>37</v>
      </c>
      <c r="L75" s="232" t="s">
        <v>39</v>
      </c>
      <c r="M75" s="232"/>
      <c r="N75" s="232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  <c r="AE75" s="232"/>
      <c r="AF75" s="232"/>
      <c r="AG75" s="232"/>
      <c r="AH75" s="232"/>
      <c r="AI75" s="232"/>
      <c r="AJ75" s="232"/>
      <c r="AK75" s="232"/>
      <c r="AL75" s="232"/>
      <c r="AM75" s="232"/>
      <c r="AN75" s="232"/>
      <c r="AO75" s="232"/>
      <c r="AP75" s="232"/>
      <c r="AQ75" s="232"/>
      <c r="AR75" s="232"/>
      <c r="AS75" s="232"/>
      <c r="AT75" s="232"/>
      <c r="AU75" s="232"/>
      <c r="AV75" s="232"/>
      <c r="AW75" s="232"/>
      <c r="AX75" s="232"/>
      <c r="AY75" s="232"/>
      <c r="AZ75" s="232"/>
      <c r="BA75" s="232"/>
      <c r="BB75" s="232"/>
      <c r="BC75" s="232"/>
      <c r="BD75" s="232"/>
    </row>
    <row r="76" spans="1:56" x14ac:dyDescent="0.25">
      <c r="A76" s="220" t="s">
        <v>740</v>
      </c>
      <c r="B76" s="233" t="s">
        <v>144</v>
      </c>
      <c r="C76" s="233" t="s">
        <v>444</v>
      </c>
      <c r="D76" s="4">
        <f t="shared" si="10"/>
        <v>13</v>
      </c>
      <c r="E76" s="233" t="s">
        <v>1</v>
      </c>
      <c r="F76" s="233" t="s">
        <v>1</v>
      </c>
      <c r="G76" s="233">
        <v>0</v>
      </c>
      <c r="H76" s="233" t="s">
        <v>1</v>
      </c>
      <c r="I76" s="233">
        <v>64</v>
      </c>
      <c r="J76" s="233"/>
      <c r="K76" s="233"/>
      <c r="L76" s="233"/>
    </row>
    <row r="77" spans="1:56" x14ac:dyDescent="0.25">
      <c r="A77" s="220" t="s">
        <v>741</v>
      </c>
      <c r="B77" s="233" t="s">
        <v>144</v>
      </c>
      <c r="C77" s="233" t="s">
        <v>445</v>
      </c>
      <c r="D77" s="4">
        <f t="shared" si="10"/>
        <v>13</v>
      </c>
      <c r="E77" s="233" t="s">
        <v>1</v>
      </c>
      <c r="F77" s="233" t="s">
        <v>1</v>
      </c>
      <c r="G77" s="233">
        <v>0</v>
      </c>
      <c r="H77" s="233" t="s">
        <v>1</v>
      </c>
      <c r="I77" s="233">
        <v>64</v>
      </c>
      <c r="J77" s="233"/>
      <c r="K77" s="233"/>
      <c r="L77" s="233"/>
    </row>
    <row r="78" spans="1:56" x14ac:dyDescent="0.25">
      <c r="A78" s="220" t="s">
        <v>742</v>
      </c>
      <c r="B78" s="233" t="s">
        <v>144</v>
      </c>
      <c r="C78" s="233" t="s">
        <v>446</v>
      </c>
      <c r="D78" s="4">
        <f t="shared" si="10"/>
        <v>13</v>
      </c>
      <c r="E78" s="233" t="s">
        <v>1</v>
      </c>
      <c r="F78" s="233" t="s">
        <v>1</v>
      </c>
      <c r="G78" s="233">
        <v>0</v>
      </c>
      <c r="H78" s="233" t="s">
        <v>1</v>
      </c>
      <c r="I78" s="233">
        <v>64</v>
      </c>
      <c r="J78" s="233"/>
      <c r="K78" s="233"/>
      <c r="L78" s="233"/>
    </row>
    <row r="79" spans="1:56" x14ac:dyDescent="0.25">
      <c r="A79" s="220" t="s">
        <v>743</v>
      </c>
      <c r="B79" s="233" t="s">
        <v>144</v>
      </c>
      <c r="C79" s="233" t="s">
        <v>447</v>
      </c>
      <c r="D79" s="4">
        <f t="shared" si="10"/>
        <v>13</v>
      </c>
      <c r="E79" s="233" t="s">
        <v>1</v>
      </c>
      <c r="F79" s="233" t="s">
        <v>1</v>
      </c>
      <c r="G79" s="233">
        <v>0</v>
      </c>
      <c r="H79" s="233" t="s">
        <v>1</v>
      </c>
      <c r="I79" s="233">
        <v>64</v>
      </c>
      <c r="J79" s="233"/>
      <c r="K79" s="233"/>
      <c r="L79" s="233"/>
    </row>
    <row r="80" spans="1:56" x14ac:dyDescent="0.25">
      <c r="A80" s="220" t="s">
        <v>744</v>
      </c>
      <c r="B80" s="233" t="s">
        <v>144</v>
      </c>
      <c r="C80" s="233" t="s">
        <v>448</v>
      </c>
      <c r="D80" s="4">
        <f t="shared" si="10"/>
        <v>25</v>
      </c>
      <c r="E80" s="233" t="s">
        <v>1</v>
      </c>
      <c r="F80" s="233" t="s">
        <v>1</v>
      </c>
      <c r="G80" s="233">
        <v>0</v>
      </c>
      <c r="H80" s="233" t="s">
        <v>1</v>
      </c>
      <c r="I80" s="233">
        <v>64</v>
      </c>
      <c r="J80" s="233"/>
      <c r="K80" s="233"/>
      <c r="L80" s="233"/>
    </row>
    <row r="81" spans="1:12" x14ac:dyDescent="0.25">
      <c r="A81" s="220" t="s">
        <v>745</v>
      </c>
      <c r="B81" s="233" t="s">
        <v>144</v>
      </c>
      <c r="C81" s="233" t="s">
        <v>449</v>
      </c>
      <c r="D81" s="4">
        <f t="shared" si="10"/>
        <v>25</v>
      </c>
      <c r="E81" s="233" t="s">
        <v>1</v>
      </c>
      <c r="F81" s="233" t="s">
        <v>1</v>
      </c>
      <c r="G81" s="233">
        <v>0</v>
      </c>
      <c r="H81" s="233" t="s">
        <v>1</v>
      </c>
      <c r="I81" s="233">
        <v>64</v>
      </c>
      <c r="J81" s="233"/>
      <c r="K81" s="233"/>
      <c r="L81" s="233"/>
    </row>
    <row r="82" spans="1:12" x14ac:dyDescent="0.25">
      <c r="A82" s="220" t="s">
        <v>746</v>
      </c>
      <c r="B82" s="233" t="s">
        <v>144</v>
      </c>
      <c r="C82" s="233" t="s">
        <v>450</v>
      </c>
      <c r="D82" s="4">
        <f t="shared" si="10"/>
        <v>25</v>
      </c>
      <c r="E82" s="233" t="s">
        <v>1</v>
      </c>
      <c r="F82" s="233" t="s">
        <v>1</v>
      </c>
      <c r="G82" s="233">
        <v>0</v>
      </c>
      <c r="H82" s="233" t="s">
        <v>1</v>
      </c>
      <c r="I82" s="233">
        <v>64</v>
      </c>
      <c r="J82" s="233"/>
      <c r="K82" s="233"/>
      <c r="L82" s="233"/>
    </row>
    <row r="83" spans="1:12" x14ac:dyDescent="0.25">
      <c r="A83" s="220" t="s">
        <v>747</v>
      </c>
      <c r="B83" s="233" t="s">
        <v>144</v>
      </c>
      <c r="C83" s="233" t="s">
        <v>451</v>
      </c>
      <c r="D83" s="4">
        <f t="shared" si="10"/>
        <v>25</v>
      </c>
      <c r="E83" s="233" t="s">
        <v>1</v>
      </c>
      <c r="F83" s="233" t="s">
        <v>1</v>
      </c>
      <c r="G83" s="233">
        <v>0</v>
      </c>
      <c r="H83" s="233" t="s">
        <v>1</v>
      </c>
      <c r="I83" s="233">
        <v>64</v>
      </c>
      <c r="J83" s="233"/>
      <c r="K83" s="233"/>
      <c r="L83" s="233"/>
    </row>
    <row r="84" spans="1:12" x14ac:dyDescent="0.25">
      <c r="A84" s="220" t="s">
        <v>748</v>
      </c>
      <c r="B84" s="233" t="s">
        <v>144</v>
      </c>
      <c r="C84" s="233" t="s">
        <v>452</v>
      </c>
      <c r="D84" s="4">
        <f t="shared" si="10"/>
        <v>43</v>
      </c>
      <c r="E84" s="233" t="s">
        <v>1</v>
      </c>
      <c r="F84" s="233" t="s">
        <v>1</v>
      </c>
      <c r="G84" s="233">
        <v>0</v>
      </c>
      <c r="H84" s="233" t="s">
        <v>1</v>
      </c>
      <c r="I84" s="233">
        <v>64</v>
      </c>
      <c r="J84" s="233"/>
      <c r="K84" s="233"/>
      <c r="L84" s="233"/>
    </row>
    <row r="85" spans="1:12" x14ac:dyDescent="0.25">
      <c r="A85" s="220" t="s">
        <v>758</v>
      </c>
      <c r="B85" s="233" t="s">
        <v>144</v>
      </c>
      <c r="C85" s="233" t="s">
        <v>470</v>
      </c>
      <c r="D85" s="4">
        <f t="shared" si="10"/>
        <v>36</v>
      </c>
      <c r="E85" s="233" t="s">
        <v>1</v>
      </c>
      <c r="F85" s="233" t="s">
        <v>1</v>
      </c>
      <c r="G85" s="233">
        <v>0</v>
      </c>
      <c r="H85" s="233" t="s">
        <v>1</v>
      </c>
      <c r="I85" s="233">
        <v>64</v>
      </c>
      <c r="J85" s="233"/>
      <c r="K85" s="237" t="s">
        <v>470</v>
      </c>
      <c r="L85" s="233"/>
    </row>
    <row r="86" spans="1:12" x14ac:dyDescent="0.25">
      <c r="A86" s="220" t="s">
        <v>759</v>
      </c>
      <c r="B86" s="233" t="s">
        <v>144</v>
      </c>
      <c r="C86" s="233" t="s">
        <v>471</v>
      </c>
      <c r="D86" s="4">
        <f t="shared" si="10"/>
        <v>36</v>
      </c>
      <c r="E86" s="233" t="s">
        <v>1</v>
      </c>
      <c r="F86" s="233" t="s">
        <v>1</v>
      </c>
      <c r="G86" s="233">
        <v>0</v>
      </c>
      <c r="H86" s="233" t="s">
        <v>1</v>
      </c>
      <c r="I86" s="233">
        <v>64</v>
      </c>
      <c r="J86" s="233"/>
      <c r="K86" s="237" t="s">
        <v>471</v>
      </c>
      <c r="L86" s="233"/>
    </row>
    <row r="87" spans="1:12" x14ac:dyDescent="0.25">
      <c r="A87" s="220" t="s">
        <v>760</v>
      </c>
      <c r="B87" s="233" t="s">
        <v>144</v>
      </c>
      <c r="C87" s="233" t="s">
        <v>472</v>
      </c>
      <c r="D87" s="4">
        <f t="shared" si="10"/>
        <v>36</v>
      </c>
      <c r="E87" s="233" t="s">
        <v>1</v>
      </c>
      <c r="F87" s="233" t="s">
        <v>1</v>
      </c>
      <c r="G87" s="233">
        <v>0</v>
      </c>
      <c r="H87" s="233" t="s">
        <v>1</v>
      </c>
      <c r="I87" s="233">
        <v>64</v>
      </c>
      <c r="J87" s="233"/>
      <c r="K87" s="237" t="s">
        <v>472</v>
      </c>
      <c r="L87" s="233"/>
    </row>
    <row r="88" spans="1:12" x14ac:dyDescent="0.25">
      <c r="A88" s="220" t="s">
        <v>761</v>
      </c>
      <c r="B88" s="233" t="s">
        <v>144</v>
      </c>
      <c r="C88" s="233" t="s">
        <v>473</v>
      </c>
      <c r="D88" s="4">
        <f t="shared" si="10"/>
        <v>36</v>
      </c>
      <c r="E88" s="233" t="s">
        <v>1</v>
      </c>
      <c r="F88" s="233" t="s">
        <v>1</v>
      </c>
      <c r="G88" s="233">
        <v>0</v>
      </c>
      <c r="H88" s="233" t="s">
        <v>1</v>
      </c>
      <c r="I88" s="233">
        <v>64</v>
      </c>
      <c r="J88" s="233"/>
      <c r="K88" s="237" t="s">
        <v>473</v>
      </c>
      <c r="L88" s="233"/>
    </row>
    <row r="89" spans="1:12" x14ac:dyDescent="0.25">
      <c r="A89" s="220" t="s">
        <v>762</v>
      </c>
      <c r="B89" s="233" t="s">
        <v>144</v>
      </c>
      <c r="C89" s="233" t="s">
        <v>474</v>
      </c>
      <c r="D89" s="4">
        <f t="shared" si="10"/>
        <v>36</v>
      </c>
      <c r="E89" s="233" t="s">
        <v>1</v>
      </c>
      <c r="F89" s="233" t="s">
        <v>1</v>
      </c>
      <c r="G89" s="233">
        <v>0</v>
      </c>
      <c r="H89" s="233" t="s">
        <v>1</v>
      </c>
      <c r="I89" s="233">
        <v>64</v>
      </c>
      <c r="J89" s="233"/>
      <c r="K89" s="237" t="s">
        <v>474</v>
      </c>
      <c r="L89" s="233"/>
    </row>
    <row r="90" spans="1:12" x14ac:dyDescent="0.25">
      <c r="A90" s="220" t="s">
        <v>763</v>
      </c>
      <c r="B90" s="233" t="s">
        <v>144</v>
      </c>
      <c r="C90" s="233" t="s">
        <v>475</v>
      </c>
      <c r="D90" s="4">
        <f t="shared" si="10"/>
        <v>36</v>
      </c>
      <c r="E90" s="233" t="s">
        <v>1</v>
      </c>
      <c r="F90" s="233" t="s">
        <v>1</v>
      </c>
      <c r="G90" s="233">
        <v>0</v>
      </c>
      <c r="H90" s="233" t="s">
        <v>1</v>
      </c>
      <c r="I90" s="233">
        <v>64</v>
      </c>
      <c r="J90" s="233"/>
      <c r="K90" s="237" t="s">
        <v>475</v>
      </c>
      <c r="L90" s="233"/>
    </row>
    <row r="91" spans="1:12" x14ac:dyDescent="0.25">
      <c r="A91" s="234" t="s">
        <v>176</v>
      </c>
      <c r="B91" s="234" t="s">
        <v>4</v>
      </c>
      <c r="C91" s="234" t="s">
        <v>5</v>
      </c>
      <c r="D91" s="4">
        <f t="shared" si="10"/>
        <v>7</v>
      </c>
      <c r="E91" s="234" t="s">
        <v>6</v>
      </c>
      <c r="F91" s="234" t="s">
        <v>7</v>
      </c>
      <c r="G91" s="234" t="s">
        <v>31</v>
      </c>
      <c r="H91" s="234" t="s">
        <v>39</v>
      </c>
    </row>
    <row r="92" spans="1:12" x14ac:dyDescent="0.25">
      <c r="A92" s="220" t="s">
        <v>749</v>
      </c>
      <c r="B92" s="235" t="s">
        <v>144</v>
      </c>
      <c r="C92" s="235" t="s">
        <v>453</v>
      </c>
      <c r="D92" s="4">
        <f t="shared" si="10"/>
        <v>38</v>
      </c>
      <c r="E92" s="235" t="s">
        <v>1</v>
      </c>
      <c r="F92" s="235">
        <v>0</v>
      </c>
      <c r="G92" s="235" t="s">
        <v>1</v>
      </c>
    </row>
    <row r="93" spans="1:12" x14ac:dyDescent="0.25">
      <c r="A93" s="220" t="s">
        <v>750</v>
      </c>
      <c r="B93" s="235" t="s">
        <v>144</v>
      </c>
      <c r="C93" s="235" t="s">
        <v>454</v>
      </c>
      <c r="D93" s="4">
        <f t="shared" si="10"/>
        <v>40</v>
      </c>
      <c r="E93" s="235" t="s">
        <v>1</v>
      </c>
      <c r="F93" s="235">
        <v>0</v>
      </c>
      <c r="G93" s="235" t="s">
        <v>1</v>
      </c>
    </row>
    <row r="94" spans="1:12" x14ac:dyDescent="0.25">
      <c r="A94" s="236" t="s">
        <v>143</v>
      </c>
      <c r="B94" s="236" t="s">
        <v>4</v>
      </c>
      <c r="C94" s="236" t="s">
        <v>5</v>
      </c>
      <c r="D94" s="4">
        <f t="shared" si="10"/>
        <v>7</v>
      </c>
      <c r="E94" s="236" t="s">
        <v>6</v>
      </c>
      <c r="F94" s="236" t="s">
        <v>7</v>
      </c>
      <c r="G94" s="236" t="s">
        <v>31</v>
      </c>
      <c r="H94" s="236" t="s">
        <v>39</v>
      </c>
    </row>
    <row r="95" spans="1:12" x14ac:dyDescent="0.25">
      <c r="A95" s="220" t="s">
        <v>751</v>
      </c>
      <c r="B95" s="237" t="s">
        <v>144</v>
      </c>
      <c r="C95" s="237" t="s">
        <v>455</v>
      </c>
      <c r="D95" s="4">
        <f t="shared" si="10"/>
        <v>32</v>
      </c>
      <c r="E95" s="237" t="s">
        <v>1</v>
      </c>
      <c r="F95" s="237">
        <v>0</v>
      </c>
      <c r="G95" s="237" t="s">
        <v>1</v>
      </c>
    </row>
    <row r="96" spans="1:12" x14ac:dyDescent="0.25">
      <c r="A96" s="220" t="s">
        <v>752</v>
      </c>
      <c r="B96" s="237" t="s">
        <v>144</v>
      </c>
      <c r="C96" s="237" t="s">
        <v>456</v>
      </c>
      <c r="D96" s="4">
        <f t="shared" si="10"/>
        <v>34</v>
      </c>
      <c r="E96" s="237" t="s">
        <v>1</v>
      </c>
      <c r="F96" s="237">
        <v>0</v>
      </c>
      <c r="G96" s="237" t="s">
        <v>1</v>
      </c>
    </row>
    <row r="97" spans="1:7" x14ac:dyDescent="0.25">
      <c r="A97" s="220" t="s">
        <v>753</v>
      </c>
      <c r="B97" s="237" t="s">
        <v>144</v>
      </c>
      <c r="C97" s="237" t="s">
        <v>457</v>
      </c>
      <c r="D97" s="4">
        <f t="shared" si="10"/>
        <v>27</v>
      </c>
      <c r="E97" s="237" t="s">
        <v>1</v>
      </c>
      <c r="F97" s="237">
        <v>0</v>
      </c>
      <c r="G97" s="237" t="s">
        <v>1</v>
      </c>
    </row>
    <row r="98" spans="1:7" x14ac:dyDescent="0.25">
      <c r="A98" s="220" t="s">
        <v>754</v>
      </c>
      <c r="B98" s="237" t="s">
        <v>144</v>
      </c>
      <c r="C98" s="237" t="s">
        <v>458</v>
      </c>
      <c r="D98" s="4">
        <f t="shared" si="10"/>
        <v>37</v>
      </c>
      <c r="E98" s="237" t="s">
        <v>1</v>
      </c>
      <c r="F98" s="237">
        <v>0</v>
      </c>
      <c r="G98" s="237" t="s">
        <v>1</v>
      </c>
    </row>
    <row r="99" spans="1:7" x14ac:dyDescent="0.25">
      <c r="A99" s="220" t="s">
        <v>755</v>
      </c>
      <c r="B99" s="237" t="s">
        <v>144</v>
      </c>
      <c r="C99" s="237" t="s">
        <v>476</v>
      </c>
      <c r="D99" s="4">
        <f t="shared" si="10"/>
        <v>25</v>
      </c>
      <c r="E99" s="237" t="s">
        <v>1</v>
      </c>
      <c r="F99" s="237">
        <v>0</v>
      </c>
      <c r="G99" s="237" t="s">
        <v>1</v>
      </c>
    </row>
    <row r="100" spans="1:7" x14ac:dyDescent="0.25">
      <c r="A100" s="220" t="s">
        <v>756</v>
      </c>
      <c r="B100" s="237" t="s">
        <v>144</v>
      </c>
      <c r="C100" s="237" t="s">
        <v>459</v>
      </c>
      <c r="D100" s="4">
        <f t="shared" si="10"/>
        <v>33</v>
      </c>
      <c r="E100" s="237" t="s">
        <v>1</v>
      </c>
      <c r="F100" s="237">
        <v>0</v>
      </c>
      <c r="G100" s="237" t="s">
        <v>1</v>
      </c>
    </row>
    <row r="101" spans="1:7" x14ac:dyDescent="0.25">
      <c r="A101" s="220" t="s">
        <v>757</v>
      </c>
      <c r="B101" s="237" t="s">
        <v>144</v>
      </c>
      <c r="C101" s="237" t="s">
        <v>460</v>
      </c>
      <c r="D101" s="4">
        <f t="shared" si="10"/>
        <v>35</v>
      </c>
      <c r="E101" s="237" t="s">
        <v>1</v>
      </c>
      <c r="F101" s="237">
        <v>0</v>
      </c>
      <c r="G101" s="237" t="s">
        <v>1</v>
      </c>
    </row>
    <row r="102" spans="1:7" x14ac:dyDescent="0.25">
      <c r="A102" s="220" t="s">
        <v>764</v>
      </c>
      <c r="B102" s="237" t="s">
        <v>144</v>
      </c>
      <c r="C102" s="237" t="s">
        <v>461</v>
      </c>
      <c r="D102" s="4">
        <f t="shared" ref="D102:D109" si="12">LEN(C102)</f>
        <v>25</v>
      </c>
      <c r="E102" s="237" t="s">
        <v>1</v>
      </c>
      <c r="F102" s="237">
        <v>0</v>
      </c>
      <c r="G102" s="237" t="s">
        <v>1</v>
      </c>
    </row>
    <row r="103" spans="1:7" x14ac:dyDescent="0.25">
      <c r="A103" s="220" t="s">
        <v>768</v>
      </c>
      <c r="B103" s="237" t="s">
        <v>144</v>
      </c>
      <c r="C103" s="237" t="s">
        <v>462</v>
      </c>
      <c r="D103" s="4">
        <f t="shared" si="12"/>
        <v>23</v>
      </c>
      <c r="E103" s="237" t="s">
        <v>1</v>
      </c>
      <c r="F103" s="237">
        <v>0</v>
      </c>
      <c r="G103" s="237" t="s">
        <v>1</v>
      </c>
    </row>
    <row r="104" spans="1:7" x14ac:dyDescent="0.25">
      <c r="A104" s="220" t="s">
        <v>765</v>
      </c>
      <c r="B104" s="237" t="s">
        <v>144</v>
      </c>
      <c r="C104" s="237" t="s">
        <v>463</v>
      </c>
      <c r="D104" s="4">
        <f t="shared" si="12"/>
        <v>25</v>
      </c>
      <c r="E104" s="237" t="s">
        <v>1</v>
      </c>
      <c r="F104" s="237">
        <v>0</v>
      </c>
      <c r="G104" s="237" t="s">
        <v>1</v>
      </c>
    </row>
    <row r="105" spans="1:7" x14ac:dyDescent="0.25">
      <c r="A105" s="220" t="s">
        <v>769</v>
      </c>
      <c r="B105" s="237" t="s">
        <v>144</v>
      </c>
      <c r="C105" s="237" t="s">
        <v>464</v>
      </c>
      <c r="D105" s="4">
        <f t="shared" si="12"/>
        <v>23</v>
      </c>
      <c r="E105" s="237" t="s">
        <v>1</v>
      </c>
      <c r="F105" s="237">
        <v>0</v>
      </c>
      <c r="G105" s="237" t="s">
        <v>1</v>
      </c>
    </row>
    <row r="106" spans="1:7" x14ac:dyDescent="0.25">
      <c r="A106" s="220" t="s">
        <v>766</v>
      </c>
      <c r="B106" s="237" t="s">
        <v>144</v>
      </c>
      <c r="C106" s="237" t="s">
        <v>465</v>
      </c>
      <c r="D106" s="4">
        <f t="shared" si="12"/>
        <v>25</v>
      </c>
      <c r="E106" s="237" t="s">
        <v>1</v>
      </c>
      <c r="F106" s="237">
        <v>0</v>
      </c>
      <c r="G106" s="237" t="s">
        <v>1</v>
      </c>
    </row>
    <row r="107" spans="1:7" x14ac:dyDescent="0.25">
      <c r="A107" s="220" t="s">
        <v>770</v>
      </c>
      <c r="B107" s="237" t="s">
        <v>144</v>
      </c>
      <c r="C107" s="237" t="s">
        <v>466</v>
      </c>
      <c r="D107" s="4">
        <f t="shared" si="12"/>
        <v>23</v>
      </c>
      <c r="E107" s="237" t="s">
        <v>1</v>
      </c>
      <c r="F107" s="237">
        <v>0</v>
      </c>
      <c r="G107" s="237" t="s">
        <v>1</v>
      </c>
    </row>
    <row r="108" spans="1:7" x14ac:dyDescent="0.25">
      <c r="A108" s="220" t="s">
        <v>767</v>
      </c>
      <c r="B108" s="237" t="s">
        <v>144</v>
      </c>
      <c r="C108" s="237" t="s">
        <v>467</v>
      </c>
      <c r="D108" s="4">
        <f t="shared" si="12"/>
        <v>25</v>
      </c>
      <c r="E108" s="237" t="s">
        <v>1</v>
      </c>
      <c r="F108" s="237">
        <v>0</v>
      </c>
      <c r="G108" s="237" t="s">
        <v>1</v>
      </c>
    </row>
    <row r="109" spans="1:7" x14ac:dyDescent="0.25">
      <c r="A109" s="220" t="s">
        <v>771</v>
      </c>
      <c r="B109" s="237" t="s">
        <v>144</v>
      </c>
      <c r="C109" s="237" t="s">
        <v>468</v>
      </c>
      <c r="D109" s="4">
        <f t="shared" si="12"/>
        <v>23</v>
      </c>
      <c r="E109" s="237" t="s">
        <v>1</v>
      </c>
      <c r="F109" s="237">
        <v>0</v>
      </c>
      <c r="G109" s="237" t="s">
        <v>1</v>
      </c>
    </row>
  </sheetData>
  <conditionalFormatting sqref="D20 D8:D10 D22 D17:D18 D12:D15 D32:D109">
    <cfRule type="cellIs" dxfId="16" priority="12" operator="greaterThan">
      <formula>49</formula>
    </cfRule>
  </conditionalFormatting>
  <conditionalFormatting sqref="D31">
    <cfRule type="cellIs" dxfId="15" priority="8" operator="greaterThan">
      <formula>49</formula>
    </cfRule>
  </conditionalFormatting>
  <conditionalFormatting sqref="D2:D7">
    <cfRule type="cellIs" dxfId="14" priority="11" operator="greaterThan">
      <formula>49</formula>
    </cfRule>
  </conditionalFormatting>
  <conditionalFormatting sqref="D29">
    <cfRule type="cellIs" dxfId="13" priority="10" operator="greaterThan">
      <formula>49</formula>
    </cfRule>
  </conditionalFormatting>
  <conditionalFormatting sqref="D30">
    <cfRule type="cellIs" dxfId="12" priority="9" operator="greaterThan">
      <formula>49</formula>
    </cfRule>
  </conditionalFormatting>
  <conditionalFormatting sqref="D11">
    <cfRule type="cellIs" dxfId="11" priority="7" operator="greaterThan">
      <formula>49</formula>
    </cfRule>
  </conditionalFormatting>
  <conditionalFormatting sqref="D19">
    <cfRule type="cellIs" dxfId="10" priority="6" operator="greaterThan">
      <formula>49</formula>
    </cfRule>
  </conditionalFormatting>
  <conditionalFormatting sqref="D23:D28">
    <cfRule type="cellIs" dxfId="9" priority="5" operator="greaterThan">
      <formula>49</formula>
    </cfRule>
  </conditionalFormatting>
  <conditionalFormatting sqref="D16">
    <cfRule type="cellIs" dxfId="8" priority="2" operator="greaterThan">
      <formula>49</formula>
    </cfRule>
  </conditionalFormatting>
  <conditionalFormatting sqref="D21">
    <cfRule type="cellIs" dxfId="7" priority="1" operator="greaterThan">
      <formula>49</formula>
    </cfRule>
  </conditionalFormatting>
  <pageMargins left="0.7" right="0.7" top="0.97222222222222221" bottom="0.75" header="0.3" footer="0.3"/>
  <pageSetup orientation="portrait" r:id="rId1"/>
  <headerFooter>
    <oddHeader>&amp;L&amp;"Times New Roman,Regular"Regional Municipality of Halton  
SCADA Standards Manual Section 6 HMI Programming
Appendix 6A HMI Tag Template&amp;R&amp;"Times New Roman,Regular"SCADA STANDARDS 2022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3"/>
  <sheetViews>
    <sheetView zoomScaleNormal="100" workbookViewId="0">
      <selection activeCell="B24" sqref="B24"/>
    </sheetView>
  </sheetViews>
  <sheetFormatPr defaultRowHeight="15" x14ac:dyDescent="0.25"/>
  <cols>
    <col min="1" max="1" width="19.85546875" bestFit="1" customWidth="1"/>
    <col min="2" max="2" width="12.7109375" bestFit="1" customWidth="1"/>
    <col min="3" max="3" width="24.7109375" customWidth="1"/>
    <col min="4" max="4" width="5.5703125" customWidth="1"/>
    <col min="5" max="5" width="11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18.7109375" bestFit="1" customWidth="1"/>
    <col min="11" max="12" width="18.140625" bestFit="1" customWidth="1"/>
    <col min="13" max="13" width="14.85546875" bestFit="1" customWidth="1"/>
    <col min="14" max="14" width="15" bestFit="1" customWidth="1"/>
    <col min="15" max="15" width="16.7109375" bestFit="1" customWidth="1"/>
    <col min="16" max="16" width="15.42578125" bestFit="1" customWidth="1"/>
    <col min="17" max="17" width="16.28515625" bestFit="1" customWidth="1"/>
    <col min="18" max="18" width="16.140625" bestFit="1" customWidth="1"/>
    <col min="19" max="19" width="37.85546875" bestFit="1" customWidth="1"/>
    <col min="20" max="20" width="19.140625" bestFit="1" customWidth="1"/>
    <col min="21" max="21" width="15.855468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7.7109375" bestFit="1" customWidth="1"/>
    <col min="42" max="42" width="8.140625" bestFit="1" customWidth="1"/>
    <col min="43" max="43" width="10.140625" bestFit="1" customWidth="1"/>
    <col min="44" max="44" width="11.28515625" bestFit="1" customWidth="1"/>
    <col min="45" max="45" width="15.42578125" bestFit="1" customWidth="1"/>
    <col min="46" max="46" width="16.42578125" bestFit="1" customWidth="1"/>
    <col min="47" max="47" width="8.7109375" bestFit="1" customWidth="1"/>
    <col min="48" max="48" width="31.28515625" bestFit="1" customWidth="1"/>
    <col min="49" max="49" width="14" bestFit="1" customWidth="1"/>
    <col min="50" max="50" width="15.7109375" bestFit="1" customWidth="1"/>
    <col min="51" max="51" width="13.7109375" bestFit="1" customWidth="1"/>
    <col min="52" max="52" width="13.42578125" bestFit="1" customWidth="1"/>
    <col min="53" max="53" width="15.140625" bestFit="1" customWidth="1"/>
    <col min="54" max="55" width="18.140625" bestFit="1" customWidth="1"/>
    <col min="56" max="56" width="14.855468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140625" bestFit="1" customWidth="1"/>
    <col min="61" max="62" width="19.140625" bestFit="1" customWidth="1"/>
    <col min="63" max="63" width="15.85546875" bestFit="1" customWidth="1"/>
    <col min="64" max="64" width="13.28515625" bestFit="1" customWidth="1"/>
  </cols>
  <sheetData>
    <row r="1" spans="1:64" s="219" customFormat="1" x14ac:dyDescent="0.25">
      <c r="A1" s="219" t="s">
        <v>130</v>
      </c>
      <c r="D1" s="5" t="s">
        <v>119</v>
      </c>
    </row>
    <row r="2" spans="1:64" s="239" customFormat="1" x14ac:dyDescent="0.25">
      <c r="A2" s="239" t="s">
        <v>3</v>
      </c>
      <c r="B2" s="239" t="s">
        <v>4</v>
      </c>
      <c r="C2" s="239" t="s">
        <v>5</v>
      </c>
      <c r="D2" s="4">
        <f t="shared" ref="D2:D23" si="0">LEN(C2)</f>
        <v>7</v>
      </c>
      <c r="E2" s="239" t="s">
        <v>6</v>
      </c>
      <c r="F2" s="239" t="s">
        <v>7</v>
      </c>
      <c r="G2" s="239" t="s">
        <v>8</v>
      </c>
      <c r="H2" s="239" t="s">
        <v>9</v>
      </c>
      <c r="I2" s="239" t="s">
        <v>10</v>
      </c>
      <c r="J2" s="239" t="s">
        <v>11</v>
      </c>
      <c r="K2" s="239" t="s">
        <v>12</v>
      </c>
      <c r="L2" s="239" t="s">
        <v>13</v>
      </c>
      <c r="M2" s="239" t="s">
        <v>14</v>
      </c>
      <c r="N2" s="239" t="s">
        <v>15</v>
      </c>
      <c r="O2" s="239" t="s">
        <v>16</v>
      </c>
      <c r="P2" s="239" t="s">
        <v>17</v>
      </c>
      <c r="Q2" s="239" t="s">
        <v>18</v>
      </c>
      <c r="R2" s="239" t="s">
        <v>19</v>
      </c>
      <c r="S2" s="239" t="s">
        <v>20</v>
      </c>
      <c r="T2" s="239" t="s">
        <v>21</v>
      </c>
      <c r="U2" s="239" t="s">
        <v>22</v>
      </c>
      <c r="V2" s="239" t="s">
        <v>23</v>
      </c>
    </row>
    <row r="3" spans="1:64" s="239" customFormat="1" x14ac:dyDescent="0.25">
      <c r="A3" s="2" t="s">
        <v>542</v>
      </c>
      <c r="B3" s="2" t="s">
        <v>2</v>
      </c>
      <c r="C3" s="2" t="s">
        <v>481</v>
      </c>
      <c r="D3" s="4">
        <f t="shared" si="0"/>
        <v>18</v>
      </c>
      <c r="E3" s="220" t="s">
        <v>0</v>
      </c>
      <c r="F3" s="220">
        <v>999</v>
      </c>
      <c r="G3" s="220">
        <v>0</v>
      </c>
      <c r="H3" s="220">
        <v>0</v>
      </c>
      <c r="I3" s="220">
        <v>0</v>
      </c>
      <c r="J3" s="220">
        <v>0</v>
      </c>
      <c r="K3" s="220">
        <v>0</v>
      </c>
      <c r="L3" s="220">
        <v>0</v>
      </c>
      <c r="M3" s="220">
        <v>0</v>
      </c>
      <c r="N3" s="220">
        <v>0</v>
      </c>
    </row>
    <row r="4" spans="1:64" s="246" customFormat="1" x14ac:dyDescent="0.25">
      <c r="A4" s="246" t="s">
        <v>43</v>
      </c>
      <c r="B4" s="246" t="s">
        <v>4</v>
      </c>
      <c r="C4" s="246" t="s">
        <v>5</v>
      </c>
      <c r="D4" s="4">
        <f t="shared" si="0"/>
        <v>7</v>
      </c>
      <c r="E4" s="246" t="s">
        <v>30</v>
      </c>
      <c r="F4" s="246" t="s">
        <v>6</v>
      </c>
      <c r="G4" s="246" t="s">
        <v>7</v>
      </c>
      <c r="H4" s="246" t="s">
        <v>31</v>
      </c>
      <c r="I4" s="246" t="s">
        <v>32</v>
      </c>
      <c r="J4" s="246" t="s">
        <v>33</v>
      </c>
      <c r="K4" s="246" t="s">
        <v>34</v>
      </c>
      <c r="L4" s="246" t="s">
        <v>35</v>
      </c>
      <c r="M4" s="246" t="s">
        <v>36</v>
      </c>
      <c r="N4" s="246" t="s">
        <v>44</v>
      </c>
      <c r="O4" s="246" t="s">
        <v>45</v>
      </c>
      <c r="P4" s="246" t="s">
        <v>46</v>
      </c>
      <c r="Q4" s="246" t="s">
        <v>47</v>
      </c>
      <c r="R4" s="246" t="s">
        <v>48</v>
      </c>
      <c r="S4" s="246" t="s">
        <v>37</v>
      </c>
      <c r="T4" s="246" t="s">
        <v>38</v>
      </c>
      <c r="U4" s="246" t="s">
        <v>15</v>
      </c>
      <c r="V4" s="246" t="s">
        <v>23</v>
      </c>
      <c r="W4" s="246" t="s">
        <v>39</v>
      </c>
    </row>
    <row r="5" spans="1:64" x14ac:dyDescent="0.25">
      <c r="A5" s="6" t="str">
        <f>$A$3&amp;"_"&amp;"1PB_EN"</f>
        <v>BXX_DTY1_LI_1PB_EN</v>
      </c>
      <c r="B5" s="6" t="str">
        <f>$A$3</f>
        <v>BXX_DTY1_LI</v>
      </c>
      <c r="C5" s="244" t="str">
        <f>$C$3 &amp; " Rotation Enable"</f>
        <v>Station Level Duty Rotation Enable</v>
      </c>
      <c r="D5" s="4">
        <f t="shared" si="0"/>
        <v>34</v>
      </c>
      <c r="E5" s="244" t="s">
        <v>1</v>
      </c>
      <c r="F5" s="244" t="s">
        <v>0</v>
      </c>
      <c r="G5" s="2">
        <v>600</v>
      </c>
      <c r="H5" s="244" t="s">
        <v>0</v>
      </c>
      <c r="I5" s="244" t="s">
        <v>40</v>
      </c>
      <c r="J5" s="244" t="s">
        <v>52</v>
      </c>
      <c r="K5" s="244" t="s">
        <v>53</v>
      </c>
      <c r="L5" s="244" t="s">
        <v>41</v>
      </c>
      <c r="M5" s="244">
        <v>94</v>
      </c>
      <c r="N5" s="244" t="s">
        <v>49</v>
      </c>
      <c r="O5" s="2" t="s">
        <v>2</v>
      </c>
      <c r="P5" s="244" t="s">
        <v>1</v>
      </c>
      <c r="Q5" s="6" t="str">
        <f>$A$3&amp;".PB_EN"</f>
        <v>BXX_DTY1_LI.PB_EN</v>
      </c>
      <c r="R5" s="244" t="s">
        <v>1</v>
      </c>
      <c r="S5" s="6" t="str">
        <f>C5</f>
        <v>Station Level Duty Rotation Enable</v>
      </c>
      <c r="T5" s="244">
        <v>0</v>
      </c>
      <c r="U5" s="244">
        <v>0</v>
      </c>
    </row>
    <row r="6" spans="1:64" s="246" customFormat="1" x14ac:dyDescent="0.25">
      <c r="A6" s="246" t="s">
        <v>107</v>
      </c>
      <c r="B6" s="246" t="s">
        <v>4</v>
      </c>
      <c r="C6" s="246" t="s">
        <v>5</v>
      </c>
      <c r="D6" s="4">
        <f t="shared" si="0"/>
        <v>7</v>
      </c>
      <c r="E6" s="246" t="s">
        <v>30</v>
      </c>
      <c r="F6" s="246" t="s">
        <v>6</v>
      </c>
      <c r="G6" s="246" t="s">
        <v>7</v>
      </c>
      <c r="H6" s="246" t="s">
        <v>31</v>
      </c>
      <c r="I6" s="246" t="s">
        <v>66</v>
      </c>
      <c r="J6" s="246" t="s">
        <v>67</v>
      </c>
      <c r="K6" s="246" t="s">
        <v>68</v>
      </c>
      <c r="L6" s="246" t="s">
        <v>69</v>
      </c>
      <c r="M6" s="246" t="s">
        <v>70</v>
      </c>
      <c r="N6" s="246" t="s">
        <v>101</v>
      </c>
      <c r="O6" s="246" t="s">
        <v>102</v>
      </c>
      <c r="P6" s="246" t="s">
        <v>73</v>
      </c>
      <c r="Q6" s="246" t="s">
        <v>74</v>
      </c>
      <c r="R6" s="246" t="s">
        <v>75</v>
      </c>
      <c r="S6" s="246" t="s">
        <v>76</v>
      </c>
      <c r="T6" s="246" t="s">
        <v>77</v>
      </c>
      <c r="U6" s="246" t="s">
        <v>78</v>
      </c>
      <c r="V6" s="246" t="s">
        <v>79</v>
      </c>
      <c r="W6" s="246" t="s">
        <v>80</v>
      </c>
      <c r="X6" s="246" t="s">
        <v>81</v>
      </c>
      <c r="Y6" s="246" t="s">
        <v>82</v>
      </c>
      <c r="Z6" s="246" t="s">
        <v>83</v>
      </c>
      <c r="AA6" s="246" t="s">
        <v>84</v>
      </c>
      <c r="AB6" s="246" t="s">
        <v>85</v>
      </c>
      <c r="AC6" s="246" t="s">
        <v>86</v>
      </c>
      <c r="AD6" s="246" t="s">
        <v>87</v>
      </c>
      <c r="AE6" s="246" t="s">
        <v>88</v>
      </c>
      <c r="AF6" s="246" t="s">
        <v>89</v>
      </c>
      <c r="AG6" s="246" t="s">
        <v>90</v>
      </c>
      <c r="AH6" s="246" t="s">
        <v>91</v>
      </c>
      <c r="AI6" s="246" t="s">
        <v>92</v>
      </c>
      <c r="AJ6" s="246" t="s">
        <v>93</v>
      </c>
      <c r="AK6" s="246" t="s">
        <v>94</v>
      </c>
      <c r="AL6" s="246" t="s">
        <v>95</v>
      </c>
      <c r="AM6" s="246" t="s">
        <v>96</v>
      </c>
      <c r="AN6" s="246" t="s">
        <v>97</v>
      </c>
      <c r="AO6" s="246" t="s">
        <v>103</v>
      </c>
      <c r="AP6" s="246" t="s">
        <v>104</v>
      </c>
      <c r="AQ6" s="246" t="s">
        <v>105</v>
      </c>
      <c r="AR6" s="246" t="s">
        <v>45</v>
      </c>
      <c r="AS6" s="246" t="s">
        <v>46</v>
      </c>
      <c r="AT6" s="246" t="s">
        <v>47</v>
      </c>
      <c r="AU6" s="246" t="s">
        <v>48</v>
      </c>
      <c r="AV6" s="246" t="s">
        <v>37</v>
      </c>
      <c r="AW6" s="246" t="s">
        <v>38</v>
      </c>
      <c r="AX6" s="246" t="s">
        <v>8</v>
      </c>
      <c r="AY6" s="246" t="s">
        <v>9</v>
      </c>
      <c r="AZ6" s="246" t="s">
        <v>10</v>
      </c>
      <c r="BA6" s="246" t="s">
        <v>11</v>
      </c>
      <c r="BB6" s="246" t="s">
        <v>12</v>
      </c>
      <c r="BC6" s="246" t="s">
        <v>13</v>
      </c>
      <c r="BD6" s="246" t="s">
        <v>14</v>
      </c>
      <c r="BE6" s="246" t="s">
        <v>16</v>
      </c>
      <c r="BF6" s="246" t="s">
        <v>17</v>
      </c>
      <c r="BG6" s="246" t="s">
        <v>18</v>
      </c>
      <c r="BH6" s="246" t="s">
        <v>19</v>
      </c>
      <c r="BI6" s="246" t="s">
        <v>20</v>
      </c>
      <c r="BJ6" s="246" t="s">
        <v>21</v>
      </c>
      <c r="BK6" s="246" t="s">
        <v>22</v>
      </c>
      <c r="BL6" s="246" t="s">
        <v>39</v>
      </c>
    </row>
    <row r="7" spans="1:64" x14ac:dyDescent="0.25">
      <c r="A7" s="6" t="str">
        <f>$A$3&amp;"_"&amp;"1AO_CT"</f>
        <v>BXX_DTY1_LI_1AO_CT</v>
      </c>
      <c r="B7" s="6" t="str">
        <f>$A$3</f>
        <v>BXX_DTY1_LI</v>
      </c>
      <c r="C7" s="246" t="str">
        <f>$C$3 &amp; " Device Selected"</f>
        <v>Station Level Duty Device Selected</v>
      </c>
      <c r="D7" s="4">
        <f t="shared" si="0"/>
        <v>34</v>
      </c>
      <c r="E7" s="245" t="s">
        <v>1</v>
      </c>
      <c r="F7" s="245" t="s">
        <v>0</v>
      </c>
      <c r="G7" s="2">
        <v>600</v>
      </c>
      <c r="H7" s="245" t="s">
        <v>0</v>
      </c>
      <c r="I7" s="245" t="s">
        <v>1</v>
      </c>
      <c r="J7" s="245">
        <v>0</v>
      </c>
      <c r="K7" s="245">
        <v>0</v>
      </c>
      <c r="L7" s="245"/>
      <c r="M7" s="245">
        <v>1</v>
      </c>
      <c r="N7" s="245">
        <v>1</v>
      </c>
      <c r="O7" s="2">
        <v>4</v>
      </c>
      <c r="P7" s="245">
        <v>0</v>
      </c>
      <c r="Q7" s="245">
        <v>0</v>
      </c>
      <c r="R7" s="245" t="s">
        <v>40</v>
      </c>
      <c r="S7" s="245">
        <v>0</v>
      </c>
      <c r="T7" s="245">
        <v>1</v>
      </c>
      <c r="U7" s="245" t="s">
        <v>40</v>
      </c>
      <c r="V7" s="245">
        <v>0</v>
      </c>
      <c r="W7" s="245">
        <v>1</v>
      </c>
      <c r="X7" s="245" t="s">
        <v>40</v>
      </c>
      <c r="Y7" s="245">
        <v>0</v>
      </c>
      <c r="Z7" s="245">
        <v>1</v>
      </c>
      <c r="AA7" s="245" t="s">
        <v>40</v>
      </c>
      <c r="AB7" s="245">
        <v>0</v>
      </c>
      <c r="AC7" s="245">
        <v>1</v>
      </c>
      <c r="AD7" s="245" t="s">
        <v>40</v>
      </c>
      <c r="AE7" s="245">
        <v>0</v>
      </c>
      <c r="AF7" s="245">
        <v>1</v>
      </c>
      <c r="AG7" s="245" t="s">
        <v>40</v>
      </c>
      <c r="AH7" s="245">
        <v>0</v>
      </c>
      <c r="AI7" s="245">
        <v>1</v>
      </c>
      <c r="AJ7" s="245">
        <v>0</v>
      </c>
      <c r="AK7" s="245" t="s">
        <v>40</v>
      </c>
      <c r="AL7" s="245">
        <v>0</v>
      </c>
      <c r="AM7" s="245">
        <v>1</v>
      </c>
      <c r="AN7" s="245" t="s">
        <v>98</v>
      </c>
      <c r="AO7" s="6">
        <f>N7</f>
        <v>1</v>
      </c>
      <c r="AP7" s="6">
        <f>O7</f>
        <v>4</v>
      </c>
      <c r="AQ7" s="245" t="s">
        <v>106</v>
      </c>
      <c r="AR7" s="6" t="str">
        <f>$O$5</f>
        <v>BXX</v>
      </c>
      <c r="AS7" s="245" t="s">
        <v>1</v>
      </c>
      <c r="AT7" s="6" t="str">
        <f>$A$3&amp;".AO_CT"</f>
        <v>BXX_DTY1_LI.AO_CT</v>
      </c>
      <c r="AU7" s="245" t="s">
        <v>1</v>
      </c>
      <c r="AV7" s="6" t="str">
        <f>C7</f>
        <v>Station Level Duty Device Selected</v>
      </c>
      <c r="AW7" s="245">
        <v>0</v>
      </c>
      <c r="AX7" s="245">
        <v>0</v>
      </c>
      <c r="AY7" s="245">
        <v>0</v>
      </c>
      <c r="AZ7" s="245">
        <v>0</v>
      </c>
      <c r="BA7" s="245">
        <v>0</v>
      </c>
      <c r="BB7" s="245">
        <v>0</v>
      </c>
      <c r="BC7" s="245">
        <v>0</v>
      </c>
      <c r="BD7" s="245">
        <v>0</v>
      </c>
    </row>
    <row r="8" spans="1:64" x14ac:dyDescent="0.25">
      <c r="A8" s="6" t="str">
        <f>$A$3&amp;"_"&amp;"1AI_CV"</f>
        <v>BXX_DTY1_LI_1AI_CV</v>
      </c>
      <c r="B8" s="6" t="str">
        <f>$A$3</f>
        <v>BXX_DTY1_LI</v>
      </c>
      <c r="C8" s="246" t="str">
        <f>$C$3 &amp; " Transmitter"</f>
        <v>Station Level Duty Transmitter</v>
      </c>
      <c r="D8" s="4">
        <f t="shared" si="0"/>
        <v>30</v>
      </c>
      <c r="E8" s="246" t="s">
        <v>1</v>
      </c>
      <c r="F8" s="246" t="s">
        <v>0</v>
      </c>
      <c r="G8" s="2">
        <v>600</v>
      </c>
      <c r="H8" s="246" t="s">
        <v>0</v>
      </c>
      <c r="I8" s="246" t="s">
        <v>1</v>
      </c>
      <c r="J8" s="246">
        <v>0</v>
      </c>
      <c r="K8" s="246">
        <v>0</v>
      </c>
      <c r="L8" s="246"/>
      <c r="M8" s="246">
        <v>1</v>
      </c>
      <c r="N8" s="246">
        <v>1</v>
      </c>
      <c r="O8" s="6">
        <f>O7</f>
        <v>4</v>
      </c>
      <c r="P8" s="246">
        <v>0</v>
      </c>
      <c r="Q8" s="246">
        <v>0</v>
      </c>
      <c r="R8" s="246" t="s">
        <v>40</v>
      </c>
      <c r="S8" s="246">
        <v>0</v>
      </c>
      <c r="T8" s="246">
        <v>1</v>
      </c>
      <c r="U8" s="246" t="s">
        <v>40</v>
      </c>
      <c r="V8" s="246">
        <v>0</v>
      </c>
      <c r="W8" s="246">
        <v>1</v>
      </c>
      <c r="X8" s="246" t="s">
        <v>40</v>
      </c>
      <c r="Y8" s="246">
        <v>0</v>
      </c>
      <c r="Z8" s="246">
        <v>1</v>
      </c>
      <c r="AA8" s="246" t="s">
        <v>40</v>
      </c>
      <c r="AB8" s="246">
        <v>0</v>
      </c>
      <c r="AC8" s="246">
        <v>1</v>
      </c>
      <c r="AD8" s="246" t="s">
        <v>40</v>
      </c>
      <c r="AE8" s="246">
        <v>0</v>
      </c>
      <c r="AF8" s="246">
        <v>1</v>
      </c>
      <c r="AG8" s="246" t="s">
        <v>40</v>
      </c>
      <c r="AH8" s="246">
        <v>0</v>
      </c>
      <c r="AI8" s="246">
        <v>1</v>
      </c>
      <c r="AJ8" s="246">
        <v>0</v>
      </c>
      <c r="AK8" s="246" t="s">
        <v>40</v>
      </c>
      <c r="AL8" s="246">
        <v>0</v>
      </c>
      <c r="AM8" s="246">
        <v>1</v>
      </c>
      <c r="AN8" s="246" t="s">
        <v>98</v>
      </c>
      <c r="AO8" s="6">
        <f>N8</f>
        <v>1</v>
      </c>
      <c r="AP8" s="6">
        <f>O8</f>
        <v>4</v>
      </c>
      <c r="AQ8" s="246" t="s">
        <v>106</v>
      </c>
      <c r="AR8" s="6" t="str">
        <f>$O$5</f>
        <v>BXX</v>
      </c>
      <c r="AS8" s="246" t="s">
        <v>1</v>
      </c>
      <c r="AT8" s="6" t="str">
        <f>$A$3&amp;".AI_CT"</f>
        <v>BXX_DTY1_LI.AI_CT</v>
      </c>
      <c r="AU8" s="246" t="s">
        <v>1</v>
      </c>
      <c r="AV8" s="6" t="str">
        <f>C8</f>
        <v>Station Level Duty Transmitter</v>
      </c>
      <c r="AW8" s="246">
        <v>0</v>
      </c>
      <c r="AX8" s="246">
        <v>0</v>
      </c>
      <c r="AY8" s="246">
        <v>0</v>
      </c>
      <c r="AZ8" s="246">
        <v>0</v>
      </c>
      <c r="BA8" s="246">
        <v>0</v>
      </c>
      <c r="BB8" s="246">
        <v>0</v>
      </c>
      <c r="BC8" s="246">
        <v>0</v>
      </c>
      <c r="BD8" s="246">
        <v>0</v>
      </c>
    </row>
    <row r="9" spans="1:64" s="239" customFormat="1" x14ac:dyDescent="0.25">
      <c r="A9" s="239" t="s">
        <v>112</v>
      </c>
      <c r="B9" s="239" t="s">
        <v>4</v>
      </c>
      <c r="C9" s="239" t="s">
        <v>5</v>
      </c>
      <c r="D9" s="4">
        <f t="shared" si="0"/>
        <v>7</v>
      </c>
      <c r="E9" s="239" t="s">
        <v>30</v>
      </c>
      <c r="F9" s="239" t="s">
        <v>6</v>
      </c>
      <c r="G9" s="239" t="s">
        <v>7</v>
      </c>
      <c r="H9" s="239" t="s">
        <v>31</v>
      </c>
      <c r="I9" s="239" t="s">
        <v>113</v>
      </c>
      <c r="J9" s="239" t="s">
        <v>114</v>
      </c>
      <c r="K9" s="239" t="s">
        <v>37</v>
      </c>
      <c r="L9" s="239" t="s">
        <v>39</v>
      </c>
    </row>
    <row r="10" spans="1:64" s="239" customFormat="1" x14ac:dyDescent="0.25">
      <c r="A10" s="220" t="s">
        <v>740</v>
      </c>
      <c r="B10" s="239" t="s">
        <v>144</v>
      </c>
      <c r="C10" s="239" t="s">
        <v>444</v>
      </c>
      <c r="D10" s="4">
        <f t="shared" si="0"/>
        <v>13</v>
      </c>
      <c r="E10" s="239" t="s">
        <v>1</v>
      </c>
      <c r="F10" s="239" t="s">
        <v>1</v>
      </c>
      <c r="G10" s="239">
        <v>0</v>
      </c>
      <c r="H10" s="239" t="s">
        <v>1</v>
      </c>
      <c r="I10" s="239">
        <v>64</v>
      </c>
    </row>
    <row r="11" spans="1:64" s="239" customFormat="1" x14ac:dyDescent="0.25">
      <c r="A11" s="220" t="s">
        <v>741</v>
      </c>
      <c r="B11" s="239" t="s">
        <v>144</v>
      </c>
      <c r="C11" s="239" t="s">
        <v>445</v>
      </c>
      <c r="D11" s="4">
        <f t="shared" si="0"/>
        <v>13</v>
      </c>
      <c r="E11" s="239" t="s">
        <v>1</v>
      </c>
      <c r="F11" s="239" t="s">
        <v>1</v>
      </c>
      <c r="G11" s="239">
        <v>0</v>
      </c>
      <c r="H11" s="239" t="s">
        <v>1</v>
      </c>
      <c r="I11" s="239">
        <v>64</v>
      </c>
    </row>
    <row r="12" spans="1:64" s="239" customFormat="1" x14ac:dyDescent="0.25">
      <c r="A12" s="220" t="s">
        <v>744</v>
      </c>
      <c r="B12" s="239" t="s">
        <v>144</v>
      </c>
      <c r="C12" s="239" t="s">
        <v>448</v>
      </c>
      <c r="D12" s="4">
        <f t="shared" si="0"/>
        <v>25</v>
      </c>
      <c r="E12" s="239" t="s">
        <v>1</v>
      </c>
      <c r="F12" s="239" t="s">
        <v>1</v>
      </c>
      <c r="G12" s="239">
        <v>0</v>
      </c>
      <c r="H12" s="239" t="s">
        <v>1</v>
      </c>
      <c r="I12" s="239">
        <v>64</v>
      </c>
    </row>
    <row r="13" spans="1:64" s="239" customFormat="1" x14ac:dyDescent="0.25">
      <c r="A13" s="220" t="s">
        <v>745</v>
      </c>
      <c r="B13" s="239" t="s">
        <v>144</v>
      </c>
      <c r="C13" s="239" t="s">
        <v>449</v>
      </c>
      <c r="D13" s="4">
        <f t="shared" si="0"/>
        <v>25</v>
      </c>
      <c r="E13" s="239" t="s">
        <v>1</v>
      </c>
      <c r="F13" s="239" t="s">
        <v>1</v>
      </c>
      <c r="G13" s="239">
        <v>0</v>
      </c>
      <c r="H13" s="239" t="s">
        <v>1</v>
      </c>
      <c r="I13" s="239">
        <v>64</v>
      </c>
    </row>
    <row r="14" spans="1:64" s="239" customFormat="1" x14ac:dyDescent="0.25">
      <c r="A14" s="220" t="s">
        <v>746</v>
      </c>
      <c r="B14" s="239" t="s">
        <v>144</v>
      </c>
      <c r="C14" s="239" t="s">
        <v>450</v>
      </c>
      <c r="D14" s="4">
        <f t="shared" si="0"/>
        <v>25</v>
      </c>
      <c r="E14" s="239" t="s">
        <v>1</v>
      </c>
      <c r="F14" s="239" t="s">
        <v>1</v>
      </c>
      <c r="G14" s="239">
        <v>0</v>
      </c>
      <c r="H14" s="239" t="s">
        <v>1</v>
      </c>
      <c r="I14" s="239">
        <v>64</v>
      </c>
    </row>
    <row r="15" spans="1:64" s="239" customFormat="1" x14ac:dyDescent="0.25">
      <c r="A15" s="220" t="s">
        <v>747</v>
      </c>
      <c r="B15" s="239" t="s">
        <v>144</v>
      </c>
      <c r="C15" s="239" t="s">
        <v>451</v>
      </c>
      <c r="D15" s="4">
        <f t="shared" si="0"/>
        <v>25</v>
      </c>
      <c r="E15" s="239" t="s">
        <v>1</v>
      </c>
      <c r="F15" s="239" t="s">
        <v>1</v>
      </c>
      <c r="G15" s="239">
        <v>0</v>
      </c>
      <c r="H15" s="239" t="s">
        <v>1</v>
      </c>
      <c r="I15" s="239">
        <v>64</v>
      </c>
    </row>
    <row r="16" spans="1:64" s="241" customFormat="1" x14ac:dyDescent="0.25">
      <c r="A16" s="243" t="s">
        <v>176</v>
      </c>
      <c r="B16" s="243" t="s">
        <v>4</v>
      </c>
      <c r="C16" s="243" t="s">
        <v>5</v>
      </c>
      <c r="D16" s="4">
        <f t="shared" si="0"/>
        <v>7</v>
      </c>
      <c r="E16" s="243" t="s">
        <v>6</v>
      </c>
      <c r="F16" s="243" t="s">
        <v>7</v>
      </c>
      <c r="G16" s="243" t="s">
        <v>31</v>
      </c>
      <c r="H16" s="243" t="s">
        <v>39</v>
      </c>
    </row>
    <row r="17" spans="1:8" s="241" customFormat="1" x14ac:dyDescent="0.25">
      <c r="A17" s="242" t="s">
        <v>789</v>
      </c>
      <c r="B17" s="242" t="s">
        <v>144</v>
      </c>
      <c r="C17" s="242" t="s">
        <v>480</v>
      </c>
      <c r="D17" s="4">
        <f t="shared" si="0"/>
        <v>30</v>
      </c>
      <c r="E17" s="242" t="s">
        <v>1</v>
      </c>
      <c r="F17" s="242">
        <v>0</v>
      </c>
      <c r="G17" s="242" t="s">
        <v>1</v>
      </c>
    </row>
    <row r="18" spans="1:8" s="240" customFormat="1" x14ac:dyDescent="0.25">
      <c r="A18" s="241" t="s">
        <v>143</v>
      </c>
      <c r="B18" s="241" t="s">
        <v>4</v>
      </c>
      <c r="C18" s="241" t="s">
        <v>5</v>
      </c>
      <c r="D18" s="4">
        <f t="shared" si="0"/>
        <v>7</v>
      </c>
      <c r="E18" s="241" t="s">
        <v>6</v>
      </c>
      <c r="F18" s="241" t="s">
        <v>7</v>
      </c>
      <c r="G18" s="241" t="s">
        <v>31</v>
      </c>
      <c r="H18" s="241" t="s">
        <v>39</v>
      </c>
    </row>
    <row r="19" spans="1:8" x14ac:dyDescent="0.25">
      <c r="A19" s="240" t="s">
        <v>790</v>
      </c>
      <c r="B19" s="240" t="s">
        <v>144</v>
      </c>
      <c r="C19" s="240" t="s">
        <v>478</v>
      </c>
      <c r="D19" s="4">
        <f t="shared" si="0"/>
        <v>44</v>
      </c>
      <c r="E19" s="240" t="s">
        <v>1</v>
      </c>
      <c r="F19" s="240">
        <v>0</v>
      </c>
      <c r="G19" s="240" t="s">
        <v>1</v>
      </c>
    </row>
    <row r="20" spans="1:8" x14ac:dyDescent="0.25">
      <c r="A20" s="240" t="s">
        <v>791</v>
      </c>
      <c r="B20" s="240" t="s">
        <v>144</v>
      </c>
      <c r="C20" s="240" t="s">
        <v>479</v>
      </c>
      <c r="D20" s="4">
        <f t="shared" si="0"/>
        <v>44</v>
      </c>
      <c r="E20" s="240" t="s">
        <v>1</v>
      </c>
      <c r="F20" s="240">
        <v>0</v>
      </c>
      <c r="G20" s="240" t="s">
        <v>1</v>
      </c>
    </row>
    <row r="21" spans="1:8" x14ac:dyDescent="0.25">
      <c r="D21" s="4">
        <f t="shared" si="0"/>
        <v>0</v>
      </c>
    </row>
    <row r="22" spans="1:8" x14ac:dyDescent="0.25">
      <c r="D22" s="4">
        <f t="shared" si="0"/>
        <v>0</v>
      </c>
    </row>
    <row r="23" spans="1:8" x14ac:dyDescent="0.25">
      <c r="D23" s="4">
        <f t="shared" si="0"/>
        <v>0</v>
      </c>
    </row>
  </sheetData>
  <conditionalFormatting sqref="D2:D3 D5:D23">
    <cfRule type="cellIs" dxfId="6" priority="4" operator="greaterThan">
      <formula>49</formula>
    </cfRule>
  </conditionalFormatting>
  <conditionalFormatting sqref="D4">
    <cfRule type="cellIs" dxfId="5" priority="1" operator="greaterThan">
      <formula>49</formula>
    </cfRule>
  </conditionalFormatting>
  <pageMargins left="0.7" right="0.7" top="0.97222222222222221" bottom="0.75" header="0.3" footer="0.3"/>
  <pageSetup orientation="portrait" r:id="rId1"/>
  <headerFooter>
    <oddHeader>&amp;L&amp;"Times New Roman,Regular"Regional Municipality of Halton  
SCADA Standards Manual Section 6 HMI Programming
Appendix 6A HMI Tag Template&amp;R&amp;"Times New Roman,Regular"SCADA STANDARDS 2022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50"/>
  <sheetViews>
    <sheetView topLeftCell="A94" zoomScaleNormal="100" workbookViewId="0">
      <selection activeCell="A14" sqref="A14"/>
    </sheetView>
  </sheetViews>
  <sheetFormatPr defaultColWidth="8.85546875" defaultRowHeight="15" x14ac:dyDescent="0.25"/>
  <cols>
    <col min="1" max="1" width="24.5703125" style="248" bestFit="1" customWidth="1"/>
    <col min="2" max="2" width="14.85546875" style="248" bestFit="1" customWidth="1"/>
    <col min="3" max="3" width="43.85546875" style="248" bestFit="1" customWidth="1"/>
    <col min="4" max="4" width="17.42578125" style="4" bestFit="1" customWidth="1"/>
    <col min="5" max="5" width="13.28515625" style="248" bestFit="1" customWidth="1"/>
    <col min="6" max="7" width="17.7109375" style="248" bestFit="1" customWidth="1"/>
    <col min="8" max="8" width="13.7109375" style="248" bestFit="1" customWidth="1"/>
    <col min="9" max="9" width="23.28515625" style="248" bestFit="1" customWidth="1"/>
    <col min="10" max="10" width="36" style="248" bestFit="1" customWidth="1"/>
    <col min="11" max="11" width="44.140625" style="248" bestFit="1" customWidth="1"/>
    <col min="12" max="12" width="18.140625" style="248" bestFit="1" customWidth="1"/>
    <col min="13" max="13" width="21.85546875" style="248" bestFit="1" customWidth="1"/>
    <col min="14" max="14" width="41.5703125" style="248" bestFit="1" customWidth="1"/>
    <col min="15" max="15" width="39.5703125" style="248" bestFit="1" customWidth="1"/>
    <col min="16" max="16" width="15.42578125" style="248" bestFit="1" customWidth="1"/>
    <col min="17" max="17" width="39.28515625" style="248" bestFit="1" customWidth="1"/>
    <col min="18" max="18" width="16.140625" style="248" bestFit="1" customWidth="1"/>
    <col min="19" max="19" width="58.28515625" style="248" bestFit="1" customWidth="1"/>
    <col min="20" max="20" width="19.140625" style="248" bestFit="1" customWidth="1"/>
    <col min="21" max="21" width="15.85546875" style="248" bestFit="1" customWidth="1"/>
    <col min="22" max="22" width="16" style="248" bestFit="1" customWidth="1"/>
    <col min="23" max="23" width="13.28515625" style="248" bestFit="1" customWidth="1"/>
    <col min="24" max="24" width="11.7109375" style="248" bestFit="1" customWidth="1"/>
    <col min="25" max="25" width="12" style="248" bestFit="1" customWidth="1"/>
    <col min="26" max="26" width="9.5703125" style="248" bestFit="1" customWidth="1"/>
    <col min="27" max="27" width="13.42578125" style="248" bestFit="1" customWidth="1"/>
    <col min="28" max="28" width="13.7109375" style="248" bestFit="1" customWidth="1"/>
    <col min="29" max="29" width="11.28515625" style="248" bestFit="1" customWidth="1"/>
    <col min="30" max="30" width="18.28515625" style="248" bestFit="1" customWidth="1"/>
    <col min="31" max="31" width="18.5703125" style="248" bestFit="1" customWidth="1"/>
    <col min="32" max="32" width="16" style="248" bestFit="1" customWidth="1"/>
    <col min="33" max="33" width="18.28515625" style="248" bestFit="1" customWidth="1"/>
    <col min="34" max="34" width="18.5703125" style="248" bestFit="1" customWidth="1"/>
    <col min="35" max="35" width="16" style="248" bestFit="1" customWidth="1"/>
    <col min="36" max="36" width="9.28515625" style="248" bestFit="1" customWidth="1"/>
    <col min="37" max="37" width="13.7109375" style="248" bestFit="1" customWidth="1"/>
    <col min="38" max="38" width="14" style="248" bestFit="1" customWidth="1"/>
    <col min="39" max="39" width="11.42578125" style="248" bestFit="1" customWidth="1"/>
    <col min="40" max="40" width="12.42578125" style="248" bestFit="1" customWidth="1"/>
    <col min="41" max="41" width="41.28515625" style="248" bestFit="1" customWidth="1"/>
    <col min="42" max="42" width="14" style="248" bestFit="1" customWidth="1"/>
    <col min="43" max="43" width="15.7109375" style="248" bestFit="1" customWidth="1"/>
    <col min="44" max="44" width="13.7109375" style="248" bestFit="1" customWidth="1"/>
    <col min="45" max="45" width="15.42578125" style="248" bestFit="1" customWidth="1"/>
    <col min="46" max="46" width="31.7109375" style="248" bestFit="1" customWidth="1"/>
    <col min="47" max="47" width="18.140625" style="248" bestFit="1" customWidth="1"/>
    <col min="48" max="48" width="46.140625" style="248" bestFit="1" customWidth="1"/>
    <col min="49" max="49" width="14.85546875" style="248" bestFit="1" customWidth="1"/>
    <col min="50" max="50" width="16.7109375" style="248" bestFit="1" customWidth="1"/>
    <col min="51" max="51" width="14.7109375" style="248" bestFit="1" customWidth="1"/>
    <col min="52" max="52" width="14.42578125" style="248" bestFit="1" customWidth="1"/>
    <col min="53" max="53" width="16.140625" style="248" bestFit="1" customWidth="1"/>
    <col min="54" max="55" width="19.140625" style="248" bestFit="1" customWidth="1"/>
    <col min="56" max="56" width="15.85546875" style="248" bestFit="1" customWidth="1"/>
    <col min="57" max="57" width="16.7109375" style="248" bestFit="1" customWidth="1"/>
    <col min="58" max="58" width="14.7109375" style="248" bestFit="1" customWidth="1"/>
    <col min="59" max="59" width="14.42578125" style="248" bestFit="1" customWidth="1"/>
    <col min="60" max="60" width="16.140625" style="248" bestFit="1" customWidth="1"/>
    <col min="61" max="62" width="19.140625" style="248" bestFit="1" customWidth="1"/>
    <col min="63" max="63" width="15.85546875" style="248" bestFit="1" customWidth="1"/>
    <col min="64" max="64" width="13.28515625" style="248" bestFit="1" customWidth="1"/>
    <col min="65" max="16384" width="8.85546875" style="248"/>
  </cols>
  <sheetData>
    <row r="1" spans="1:23" x14ac:dyDescent="0.25">
      <c r="A1" s="248" t="s">
        <v>130</v>
      </c>
      <c r="D1" s="248"/>
    </row>
    <row r="2" spans="1:23" x14ac:dyDescent="0.25">
      <c r="A2" s="248" t="s">
        <v>3</v>
      </c>
      <c r="B2" s="248" t="s">
        <v>4</v>
      </c>
      <c r="C2" s="248" t="s">
        <v>5</v>
      </c>
      <c r="D2" s="5" t="s">
        <v>119</v>
      </c>
      <c r="E2" s="248" t="s">
        <v>6</v>
      </c>
      <c r="F2" s="248" t="s">
        <v>7</v>
      </c>
      <c r="G2" s="248" t="s">
        <v>8</v>
      </c>
      <c r="H2" s="248" t="s">
        <v>9</v>
      </c>
      <c r="I2" s="248" t="s">
        <v>10</v>
      </c>
      <c r="J2" s="248" t="s">
        <v>11</v>
      </c>
      <c r="K2" s="248" t="s">
        <v>12</v>
      </c>
      <c r="L2" s="248" t="s">
        <v>13</v>
      </c>
      <c r="M2" s="248" t="s">
        <v>14</v>
      </c>
      <c r="N2" s="248" t="s">
        <v>15</v>
      </c>
      <c r="O2" s="248" t="s">
        <v>16</v>
      </c>
      <c r="P2" s="248" t="s">
        <v>17</v>
      </c>
      <c r="Q2" s="248" t="s">
        <v>18</v>
      </c>
      <c r="R2" s="248" t="s">
        <v>19</v>
      </c>
      <c r="S2" s="248" t="s">
        <v>20</v>
      </c>
      <c r="T2" s="248" t="s">
        <v>21</v>
      </c>
      <c r="U2" s="248" t="s">
        <v>22</v>
      </c>
      <c r="V2" s="248" t="s">
        <v>23</v>
      </c>
    </row>
    <row r="3" spans="1:23" x14ac:dyDescent="0.25">
      <c r="A3" s="2" t="s">
        <v>543</v>
      </c>
      <c r="B3" s="2" t="s">
        <v>2</v>
      </c>
      <c r="C3" s="2" t="s">
        <v>483</v>
      </c>
      <c r="D3" s="4">
        <f>LEN(C3)</f>
        <v>15</v>
      </c>
      <c r="E3" s="248" t="s">
        <v>0</v>
      </c>
      <c r="F3" s="248">
        <v>999</v>
      </c>
      <c r="G3" s="248">
        <v>0</v>
      </c>
      <c r="H3" s="248">
        <v>0</v>
      </c>
      <c r="I3" s="248">
        <v>0</v>
      </c>
      <c r="J3" s="248">
        <v>0</v>
      </c>
      <c r="K3" s="248">
        <v>0</v>
      </c>
      <c r="L3" s="248">
        <v>0</v>
      </c>
      <c r="M3" s="248">
        <v>0</v>
      </c>
      <c r="N3" s="248">
        <v>0</v>
      </c>
    </row>
    <row r="4" spans="1:23" x14ac:dyDescent="0.25">
      <c r="A4" s="2" t="s">
        <v>25</v>
      </c>
      <c r="B4" s="2" t="s">
        <v>116</v>
      </c>
      <c r="C4" s="2" t="s">
        <v>117</v>
      </c>
      <c r="D4" s="4">
        <f>LEN(C4)</f>
        <v>25</v>
      </c>
      <c r="E4" s="248" t="s">
        <v>0</v>
      </c>
      <c r="F4" s="248">
        <v>999</v>
      </c>
      <c r="G4" s="248">
        <v>0</v>
      </c>
      <c r="H4" s="248">
        <v>0</v>
      </c>
      <c r="I4" s="248">
        <v>0</v>
      </c>
      <c r="J4" s="248">
        <v>0</v>
      </c>
      <c r="K4" s="248">
        <v>0</v>
      </c>
      <c r="L4" s="248">
        <v>0</v>
      </c>
      <c r="M4" s="248">
        <v>0</v>
      </c>
      <c r="N4" s="248">
        <v>0</v>
      </c>
    </row>
    <row r="5" spans="1:23" x14ac:dyDescent="0.25">
      <c r="A5" s="248" t="s">
        <v>43</v>
      </c>
      <c r="B5" s="248" t="s">
        <v>4</v>
      </c>
      <c r="C5" s="248" t="s">
        <v>5</v>
      </c>
      <c r="E5" s="248" t="s">
        <v>30</v>
      </c>
      <c r="F5" s="248" t="s">
        <v>6</v>
      </c>
      <c r="G5" s="248" t="s">
        <v>7</v>
      </c>
      <c r="H5" s="248" t="s">
        <v>31</v>
      </c>
      <c r="I5" s="248" t="s">
        <v>32</v>
      </c>
      <c r="J5" s="248" t="s">
        <v>33</v>
      </c>
      <c r="K5" s="248" t="s">
        <v>34</v>
      </c>
      <c r="L5" s="248" t="s">
        <v>35</v>
      </c>
      <c r="M5" s="248" t="s">
        <v>36</v>
      </c>
      <c r="N5" s="248" t="s">
        <v>44</v>
      </c>
      <c r="O5" s="248" t="s">
        <v>45</v>
      </c>
      <c r="P5" s="248" t="s">
        <v>46</v>
      </c>
      <c r="Q5" s="248" t="s">
        <v>47</v>
      </c>
      <c r="R5" s="248" t="s">
        <v>48</v>
      </c>
      <c r="S5" s="248" t="s">
        <v>37</v>
      </c>
      <c r="T5" s="248" t="s">
        <v>38</v>
      </c>
      <c r="U5" s="248" t="s">
        <v>15</v>
      </c>
      <c r="V5" s="248" t="s">
        <v>23</v>
      </c>
      <c r="W5" s="248" t="s">
        <v>39</v>
      </c>
    </row>
    <row r="6" spans="1:23" x14ac:dyDescent="0.25">
      <c r="A6" s="6" t="str">
        <f>$A$3&amp;"_"&amp;"DI_AD"</f>
        <v>BXX_OVF1_FI1_DI_AD</v>
      </c>
      <c r="B6" s="6" t="str">
        <f>$A$4</f>
        <v>BXX_DSAB</v>
      </c>
      <c r="C6" s="6" t="str">
        <f>$C$3 &amp; " Disabled Analog Alarm"</f>
        <v>Sample Overflow Disabled Analog Alarm</v>
      </c>
      <c r="D6" s="4">
        <f>LEN(C6)</f>
        <v>37</v>
      </c>
      <c r="E6" s="248" t="s">
        <v>1</v>
      </c>
      <c r="F6" s="248" t="s">
        <v>1</v>
      </c>
      <c r="G6" s="248">
        <v>0</v>
      </c>
      <c r="H6" s="248" t="s">
        <v>0</v>
      </c>
      <c r="I6" s="248" t="s">
        <v>40</v>
      </c>
      <c r="J6" s="248" t="s">
        <v>40</v>
      </c>
      <c r="K6" s="248" t="s">
        <v>42</v>
      </c>
      <c r="L6" s="248" t="s">
        <v>42</v>
      </c>
      <c r="M6" s="2">
        <v>98</v>
      </c>
      <c r="N6" s="248" t="s">
        <v>49</v>
      </c>
      <c r="O6" s="2" t="s">
        <v>2</v>
      </c>
      <c r="P6" s="248" t="s">
        <v>1</v>
      </c>
      <c r="Q6" s="6" t="str">
        <f>$A$3&amp;".DI_AD"</f>
        <v>BXX_OVF1_FI1.DI_AD</v>
      </c>
      <c r="R6" s="248" t="s">
        <v>1</v>
      </c>
      <c r="S6" s="6" t="str">
        <f>C6</f>
        <v>Sample Overflow Disabled Analog Alarm</v>
      </c>
      <c r="T6" s="248">
        <v>0</v>
      </c>
      <c r="U6" s="248">
        <v>0</v>
      </c>
    </row>
    <row r="7" spans="1:23" x14ac:dyDescent="0.25">
      <c r="A7" s="6" t="str">
        <f>$A$3&amp;"_"&amp;"DI_SC"</f>
        <v>BXX_OVF1_FI1_DI_SC</v>
      </c>
      <c r="B7" s="6" t="str">
        <f>$A$3</f>
        <v>BXX_OVF1_FI1</v>
      </c>
      <c r="C7" s="6" t="str">
        <f>$C$3 &amp; " Scan Status"</f>
        <v>Sample Overflow Scan Status</v>
      </c>
      <c r="D7" s="4">
        <f t="shared" ref="D7:D39" si="0">LEN(C7)</f>
        <v>27</v>
      </c>
      <c r="E7" s="248" t="s">
        <v>1</v>
      </c>
      <c r="F7" s="248" t="s">
        <v>0</v>
      </c>
      <c r="G7" s="2">
        <v>700</v>
      </c>
      <c r="H7" s="248" t="s">
        <v>0</v>
      </c>
      <c r="I7" s="248" t="s">
        <v>40</v>
      </c>
      <c r="J7" s="248" t="s">
        <v>53</v>
      </c>
      <c r="K7" s="248" t="s">
        <v>52</v>
      </c>
      <c r="L7" s="248" t="s">
        <v>41</v>
      </c>
      <c r="M7" s="248">
        <v>1</v>
      </c>
      <c r="N7" s="248" t="s">
        <v>49</v>
      </c>
      <c r="O7" s="6" t="str">
        <f>$O$6</f>
        <v>BXX</v>
      </c>
      <c r="P7" s="248" t="s">
        <v>1</v>
      </c>
      <c r="Q7" s="6" t="str">
        <f>$A$3&amp;".DI_SC"</f>
        <v>BXX_OVF1_FI1.DI_SC</v>
      </c>
      <c r="R7" s="248" t="s">
        <v>1</v>
      </c>
      <c r="S7" s="6" t="str">
        <f t="shared" ref="S7:S39" si="1">C7</f>
        <v>Sample Overflow Scan Status</v>
      </c>
      <c r="T7" s="248">
        <v>0</v>
      </c>
      <c r="U7" s="248">
        <v>0</v>
      </c>
    </row>
    <row r="8" spans="1:23" x14ac:dyDescent="0.25">
      <c r="A8" s="6" t="str">
        <f>$A$3&amp;"_"&amp;"DA_LL"</f>
        <v>BXX_OVF1_FI1_DA_LL</v>
      </c>
      <c r="B8" s="6" t="str">
        <f t="shared" ref="B8:B39" si="2">$A$3</f>
        <v>BXX_OVF1_FI1</v>
      </c>
      <c r="C8" s="6" t="str">
        <f>$C$3 &amp; " LOLO Alarm"</f>
        <v>Sample Overflow LOLO Alarm</v>
      </c>
      <c r="D8" s="4">
        <f t="shared" si="0"/>
        <v>26</v>
      </c>
      <c r="E8" s="248" t="s">
        <v>1</v>
      </c>
      <c r="F8" s="248" t="s">
        <v>1</v>
      </c>
      <c r="G8" s="248">
        <v>0</v>
      </c>
      <c r="H8" s="248" t="s">
        <v>0</v>
      </c>
      <c r="I8" s="248" t="s">
        <v>40</v>
      </c>
      <c r="J8" s="248" t="s">
        <v>54</v>
      </c>
      <c r="K8" s="248" t="s">
        <v>51</v>
      </c>
      <c r="L8" s="248" t="s">
        <v>42</v>
      </c>
      <c r="M8" s="2">
        <v>90</v>
      </c>
      <c r="N8" s="248" t="s">
        <v>49</v>
      </c>
      <c r="O8" s="6" t="str">
        <f t="shared" ref="O8:O39" si="3">$O$6</f>
        <v>BXX</v>
      </c>
      <c r="P8" s="248" t="s">
        <v>1</v>
      </c>
      <c r="Q8" s="6" t="str">
        <f>$A$3&amp;".DA_LL"</f>
        <v>BXX_OVF1_FI1.DA_LL</v>
      </c>
      <c r="R8" s="248" t="s">
        <v>1</v>
      </c>
      <c r="S8" s="6" t="str">
        <f t="shared" si="1"/>
        <v>Sample Overflow LOLO Alarm</v>
      </c>
      <c r="T8" s="248">
        <v>0</v>
      </c>
      <c r="U8" s="248">
        <v>0</v>
      </c>
    </row>
    <row r="9" spans="1:23" x14ac:dyDescent="0.25">
      <c r="A9" s="6" t="str">
        <f>$A$3&amp;"_"&amp;"DA_ER"</f>
        <v>BXX_OVF1_FI1_DA_ER</v>
      </c>
      <c r="B9" s="6" t="str">
        <f t="shared" si="2"/>
        <v>BXX_OVF1_FI1</v>
      </c>
      <c r="C9" s="6" t="str">
        <f>$C$3 &amp; " Signal Error Alarm"</f>
        <v>Sample Overflow Signal Error Alarm</v>
      </c>
      <c r="D9" s="4">
        <f t="shared" si="0"/>
        <v>34</v>
      </c>
      <c r="E9" s="248" t="s">
        <v>1</v>
      </c>
      <c r="F9" s="248" t="s">
        <v>1</v>
      </c>
      <c r="G9" s="248">
        <v>0</v>
      </c>
      <c r="H9" s="248" t="s">
        <v>0</v>
      </c>
      <c r="I9" s="248" t="s">
        <v>40</v>
      </c>
      <c r="J9" s="248" t="s">
        <v>54</v>
      </c>
      <c r="K9" s="248" t="s">
        <v>51</v>
      </c>
      <c r="L9" s="248" t="s">
        <v>42</v>
      </c>
      <c r="M9" s="2">
        <v>94</v>
      </c>
      <c r="N9" s="248" t="s">
        <v>49</v>
      </c>
      <c r="O9" s="6" t="str">
        <f t="shared" si="3"/>
        <v>BXX</v>
      </c>
      <c r="P9" s="248" t="s">
        <v>1</v>
      </c>
      <c r="Q9" s="6" t="str">
        <f>$A$3&amp;".DA_ER"</f>
        <v>BXX_OVF1_FI1.DA_ER</v>
      </c>
      <c r="R9" s="248" t="s">
        <v>1</v>
      </c>
      <c r="S9" s="6" t="str">
        <f t="shared" si="1"/>
        <v>Sample Overflow Signal Error Alarm</v>
      </c>
      <c r="T9" s="248">
        <v>0</v>
      </c>
      <c r="U9" s="248">
        <v>0</v>
      </c>
    </row>
    <row r="10" spans="1:23" x14ac:dyDescent="0.25">
      <c r="A10" s="6" t="str">
        <f>$A$3&amp;"_"&amp;"PB_SM"</f>
        <v>BXX_OVF1_FI1_PB_SM</v>
      </c>
      <c r="B10" s="6" t="str">
        <f t="shared" si="2"/>
        <v>BXX_OVF1_FI1</v>
      </c>
      <c r="C10" s="6" t="str">
        <f>$C$3 &amp; " Alarm Test"</f>
        <v>Sample Overflow Alarm Test</v>
      </c>
      <c r="D10" s="4">
        <f t="shared" si="0"/>
        <v>26</v>
      </c>
      <c r="E10" s="248" t="s">
        <v>1</v>
      </c>
      <c r="F10" s="248" t="s">
        <v>0</v>
      </c>
      <c r="G10" s="2">
        <v>600</v>
      </c>
      <c r="H10" s="248" t="s">
        <v>0</v>
      </c>
      <c r="I10" s="248" t="s">
        <v>40</v>
      </c>
      <c r="J10" s="248" t="s">
        <v>40</v>
      </c>
      <c r="K10" s="248" t="s">
        <v>42</v>
      </c>
      <c r="L10" s="248" t="s">
        <v>41</v>
      </c>
      <c r="M10" s="248">
        <v>1</v>
      </c>
      <c r="N10" s="248" t="s">
        <v>49</v>
      </c>
      <c r="O10" s="6" t="str">
        <f t="shared" si="3"/>
        <v>BXX</v>
      </c>
      <c r="P10" s="248" t="s">
        <v>1</v>
      </c>
      <c r="Q10" s="6" t="str">
        <f>$A$3&amp;".PB_SM"</f>
        <v>BXX_OVF1_FI1.PB_SM</v>
      </c>
      <c r="R10" s="248" t="s">
        <v>1</v>
      </c>
      <c r="S10" s="6" t="str">
        <f t="shared" si="1"/>
        <v>Sample Overflow Alarm Test</v>
      </c>
      <c r="T10" s="248">
        <v>0</v>
      </c>
      <c r="U10" s="248">
        <v>0</v>
      </c>
    </row>
    <row r="11" spans="1:23" x14ac:dyDescent="0.25">
      <c r="A11" s="6" t="str">
        <f>$A$3&amp;"_"&amp;"PB_SV"</f>
        <v>BXX_OVF1_FI1_PB_SV</v>
      </c>
      <c r="B11" s="6" t="str">
        <f t="shared" si="2"/>
        <v>BXX_OVF1_FI1</v>
      </c>
      <c r="C11" s="6" t="str">
        <f>$C$3 &amp; " Override Enable"</f>
        <v>Sample Overflow Override Enable</v>
      </c>
      <c r="D11" s="4">
        <f t="shared" si="0"/>
        <v>31</v>
      </c>
      <c r="E11" s="248" t="s">
        <v>1</v>
      </c>
      <c r="F11" s="248" t="s">
        <v>0</v>
      </c>
      <c r="G11" s="2">
        <v>600</v>
      </c>
      <c r="H11" s="248" t="s">
        <v>0</v>
      </c>
      <c r="I11" s="248" t="s">
        <v>40</v>
      </c>
      <c r="J11" s="248" t="s">
        <v>40</v>
      </c>
      <c r="K11" s="248" t="s">
        <v>42</v>
      </c>
      <c r="L11" s="248" t="s">
        <v>41</v>
      </c>
      <c r="M11" s="248">
        <v>1</v>
      </c>
      <c r="N11" s="248" t="s">
        <v>49</v>
      </c>
      <c r="O11" s="6" t="str">
        <f t="shared" si="3"/>
        <v>BXX</v>
      </c>
      <c r="P11" s="248" t="s">
        <v>1</v>
      </c>
      <c r="Q11" s="6" t="str">
        <f>$A$3&amp;".PB_SV"</f>
        <v>BXX_OVF1_FI1.PB_SV</v>
      </c>
      <c r="R11" s="248" t="s">
        <v>1</v>
      </c>
      <c r="S11" s="6" t="str">
        <f t="shared" si="1"/>
        <v>Sample Overflow Override Enable</v>
      </c>
      <c r="T11" s="248">
        <v>0</v>
      </c>
      <c r="U11" s="248">
        <v>0</v>
      </c>
    </row>
    <row r="12" spans="1:23" x14ac:dyDescent="0.25">
      <c r="A12" s="6" t="str">
        <f>$A$3&amp;"_"&amp;"PB_AE"</f>
        <v>BXX_OVF1_FI1_PB_AE</v>
      </c>
      <c r="B12" s="6" t="str">
        <f t="shared" si="2"/>
        <v>BXX_OVF1_FI1</v>
      </c>
      <c r="C12" s="6" t="str">
        <f>$C$3 &amp; " Alarm Enable"</f>
        <v>Sample Overflow Alarm Enable</v>
      </c>
      <c r="D12" s="4">
        <f t="shared" si="0"/>
        <v>28</v>
      </c>
      <c r="E12" s="248" t="s">
        <v>1</v>
      </c>
      <c r="F12" s="248" t="s">
        <v>0</v>
      </c>
      <c r="G12" s="2">
        <v>600</v>
      </c>
      <c r="H12" s="248" t="s">
        <v>0</v>
      </c>
      <c r="I12" s="248" t="s">
        <v>40</v>
      </c>
      <c r="J12" s="248" t="s">
        <v>40</v>
      </c>
      <c r="K12" s="248" t="s">
        <v>42</v>
      </c>
      <c r="L12" s="248" t="s">
        <v>41</v>
      </c>
      <c r="M12" s="248">
        <v>1</v>
      </c>
      <c r="N12" s="248" t="s">
        <v>49</v>
      </c>
      <c r="O12" s="6" t="str">
        <f t="shared" si="3"/>
        <v>BXX</v>
      </c>
      <c r="P12" s="248" t="s">
        <v>1</v>
      </c>
      <c r="Q12" s="6" t="str">
        <f>$A$3&amp;".PB_AE.RE"</f>
        <v>BXX_OVF1_FI1.PB_AE.RE</v>
      </c>
      <c r="R12" s="248" t="s">
        <v>1</v>
      </c>
      <c r="S12" s="6" t="str">
        <f t="shared" si="1"/>
        <v>Sample Overflow Alarm Enable</v>
      </c>
      <c r="T12" s="248">
        <v>0</v>
      </c>
      <c r="U12" s="248">
        <v>0</v>
      </c>
    </row>
    <row r="13" spans="1:23" x14ac:dyDescent="0.25">
      <c r="A13" s="6" t="str">
        <f>$A$3&amp;"_"&amp;"PB_HI"</f>
        <v>BXX_OVF1_FI1_PB_HI</v>
      </c>
      <c r="B13" s="6" t="str">
        <f t="shared" si="2"/>
        <v>BXX_OVF1_FI1</v>
      </c>
      <c r="C13" s="6" t="str">
        <f>$C$3 &amp; " High Alarm Enable"</f>
        <v>Sample Overflow High Alarm Enable</v>
      </c>
      <c r="D13" s="4">
        <f t="shared" si="0"/>
        <v>33</v>
      </c>
      <c r="E13" s="248" t="s">
        <v>1</v>
      </c>
      <c r="F13" s="248" t="s">
        <v>0</v>
      </c>
      <c r="G13" s="2">
        <v>600</v>
      </c>
      <c r="H13" s="248" t="s">
        <v>0</v>
      </c>
      <c r="I13" s="248" t="s">
        <v>40</v>
      </c>
      <c r="J13" s="248" t="s">
        <v>52</v>
      </c>
      <c r="K13" s="248" t="s">
        <v>53</v>
      </c>
      <c r="L13" s="248" t="s">
        <v>41</v>
      </c>
      <c r="M13" s="248">
        <v>1</v>
      </c>
      <c r="N13" s="248" t="s">
        <v>49</v>
      </c>
      <c r="O13" s="6" t="str">
        <f t="shared" si="3"/>
        <v>BXX</v>
      </c>
      <c r="P13" s="248" t="s">
        <v>1</v>
      </c>
      <c r="Q13" s="6" t="str">
        <f>$A$3&amp;".PB_HI.RE"</f>
        <v>BXX_OVF1_FI1.PB_HI.RE</v>
      </c>
      <c r="R13" s="248" t="s">
        <v>1</v>
      </c>
      <c r="S13" s="6" t="str">
        <f t="shared" si="1"/>
        <v>Sample Overflow High Alarm Enable</v>
      </c>
      <c r="T13" s="248">
        <v>0</v>
      </c>
      <c r="U13" s="248">
        <v>0</v>
      </c>
    </row>
    <row r="14" spans="1:23" x14ac:dyDescent="0.25">
      <c r="A14" s="6" t="str">
        <f>$A$3&amp;"_"&amp;"PB_LO"</f>
        <v>BXX_OVF1_FI1_PB_LO</v>
      </c>
      <c r="B14" s="6" t="str">
        <f t="shared" si="2"/>
        <v>BXX_OVF1_FI1</v>
      </c>
      <c r="C14" s="6" t="str">
        <f>$C$3 &amp; " Low Alarm Enable"</f>
        <v>Sample Overflow Low Alarm Enable</v>
      </c>
      <c r="D14" s="4">
        <f t="shared" si="0"/>
        <v>32</v>
      </c>
      <c r="E14" s="248" t="s">
        <v>1</v>
      </c>
      <c r="F14" s="248" t="s">
        <v>0</v>
      </c>
      <c r="G14" s="2">
        <v>600</v>
      </c>
      <c r="H14" s="248" t="s">
        <v>0</v>
      </c>
      <c r="I14" s="248" t="s">
        <v>40</v>
      </c>
      <c r="J14" s="248" t="s">
        <v>52</v>
      </c>
      <c r="K14" s="248" t="s">
        <v>53</v>
      </c>
      <c r="L14" s="248" t="s">
        <v>41</v>
      </c>
      <c r="M14" s="248">
        <v>1</v>
      </c>
      <c r="N14" s="248" t="s">
        <v>49</v>
      </c>
      <c r="O14" s="6" t="str">
        <f t="shared" si="3"/>
        <v>BXX</v>
      </c>
      <c r="P14" s="248" t="s">
        <v>1</v>
      </c>
      <c r="Q14" s="6" t="str">
        <f>$A$3&amp;".PB_LO.RE"</f>
        <v>BXX_OVF1_FI1.PB_LO.RE</v>
      </c>
      <c r="R14" s="248" t="s">
        <v>1</v>
      </c>
      <c r="S14" s="6" t="str">
        <f t="shared" si="1"/>
        <v>Sample Overflow Low Alarm Enable</v>
      </c>
      <c r="T14" s="248">
        <v>0</v>
      </c>
      <c r="U14" s="248">
        <v>0</v>
      </c>
    </row>
    <row r="15" spans="1:23" x14ac:dyDescent="0.25">
      <c r="A15" s="6" t="str">
        <f>$A$3&amp;"_"&amp;"PB_LL"</f>
        <v>BXX_OVF1_FI1_PB_LL</v>
      </c>
      <c r="B15" s="6" t="str">
        <f t="shared" si="2"/>
        <v>BXX_OVF1_FI1</v>
      </c>
      <c r="C15" s="6" t="str">
        <f>$C$3 &amp; " LOLO Alarm Enable"</f>
        <v>Sample Overflow LOLO Alarm Enable</v>
      </c>
      <c r="D15" s="4">
        <f t="shared" si="0"/>
        <v>33</v>
      </c>
      <c r="E15" s="248" t="s">
        <v>1</v>
      </c>
      <c r="F15" s="248" t="s">
        <v>0</v>
      </c>
      <c r="G15" s="2">
        <v>600</v>
      </c>
      <c r="H15" s="248" t="s">
        <v>0</v>
      </c>
      <c r="I15" s="248" t="s">
        <v>40</v>
      </c>
      <c r="J15" s="248" t="s">
        <v>52</v>
      </c>
      <c r="K15" s="248" t="s">
        <v>53</v>
      </c>
      <c r="L15" s="248" t="s">
        <v>41</v>
      </c>
      <c r="M15" s="248">
        <v>1</v>
      </c>
      <c r="N15" s="248" t="s">
        <v>49</v>
      </c>
      <c r="O15" s="6" t="str">
        <f t="shared" si="3"/>
        <v>BXX</v>
      </c>
      <c r="P15" s="248" t="s">
        <v>1</v>
      </c>
      <c r="Q15" s="6" t="str">
        <f>$A$3&amp;".PB_LL.RE"</f>
        <v>BXX_OVF1_FI1.PB_LL.RE</v>
      </c>
      <c r="R15" s="248" t="s">
        <v>1</v>
      </c>
      <c r="S15" s="6" t="str">
        <f t="shared" si="1"/>
        <v>Sample Overflow LOLO Alarm Enable</v>
      </c>
      <c r="T15" s="248">
        <v>0</v>
      </c>
      <c r="U15" s="248">
        <v>0</v>
      </c>
    </row>
    <row r="16" spans="1:23" x14ac:dyDescent="0.25">
      <c r="A16" s="6" t="str">
        <f>$A$3&amp;"_"&amp;"PB_ER"</f>
        <v>BXX_OVF1_FI1_PB_ER</v>
      </c>
      <c r="B16" s="6" t="str">
        <f t="shared" si="2"/>
        <v>BXX_OVF1_FI1</v>
      </c>
      <c r="C16" s="6" t="str">
        <f>$C$3 &amp; " Signal Error Alarm En"</f>
        <v>Sample Overflow Signal Error Alarm En</v>
      </c>
      <c r="D16" s="4">
        <f t="shared" si="0"/>
        <v>37</v>
      </c>
      <c r="E16" s="248" t="s">
        <v>1</v>
      </c>
      <c r="F16" s="248" t="s">
        <v>0</v>
      </c>
      <c r="G16" s="2">
        <v>600</v>
      </c>
      <c r="H16" s="248" t="s">
        <v>0</v>
      </c>
      <c r="I16" s="248" t="s">
        <v>40</v>
      </c>
      <c r="J16" s="248" t="s">
        <v>52</v>
      </c>
      <c r="K16" s="248" t="s">
        <v>53</v>
      </c>
      <c r="L16" s="248" t="s">
        <v>41</v>
      </c>
      <c r="M16" s="248">
        <v>1</v>
      </c>
      <c r="N16" s="248" t="s">
        <v>49</v>
      </c>
      <c r="O16" s="6" t="str">
        <f t="shared" si="3"/>
        <v>BXX</v>
      </c>
      <c r="P16" s="248" t="s">
        <v>1</v>
      </c>
      <c r="Q16" s="6" t="str">
        <f>$A$3&amp;".PB_ER.RE"</f>
        <v>BXX_OVF1_FI1.PB_ER.RE</v>
      </c>
      <c r="R16" s="248" t="s">
        <v>1</v>
      </c>
      <c r="S16" s="6" t="str">
        <f t="shared" si="1"/>
        <v>Sample Overflow Signal Error Alarm En</v>
      </c>
      <c r="T16" s="248">
        <v>0</v>
      </c>
      <c r="U16" s="248">
        <v>0</v>
      </c>
    </row>
    <row r="17" spans="1:21" x14ac:dyDescent="0.25">
      <c r="A17" s="6" t="str">
        <f>$A$3&amp;"_"&amp;"PB_SC"</f>
        <v>BXX_OVF1_FI1_PB_SC</v>
      </c>
      <c r="B17" s="6" t="str">
        <f t="shared" si="2"/>
        <v>BXX_OVF1_FI1</v>
      </c>
      <c r="C17" s="6" t="str">
        <f>$C$3 &amp; " Scan Enable"</f>
        <v>Sample Overflow Scan Enable</v>
      </c>
      <c r="D17" s="4">
        <f t="shared" si="0"/>
        <v>27</v>
      </c>
      <c r="E17" s="248" t="s">
        <v>1</v>
      </c>
      <c r="F17" s="248" t="s">
        <v>0</v>
      </c>
      <c r="G17" s="2">
        <v>600</v>
      </c>
      <c r="H17" s="248" t="s">
        <v>0</v>
      </c>
      <c r="I17" s="248" t="s">
        <v>40</v>
      </c>
      <c r="J17" s="248" t="s">
        <v>40</v>
      </c>
      <c r="K17" s="248" t="s">
        <v>42</v>
      </c>
      <c r="L17" s="248" t="s">
        <v>41</v>
      </c>
      <c r="M17" s="248">
        <v>1</v>
      </c>
      <c r="N17" s="248" t="s">
        <v>49</v>
      </c>
      <c r="O17" s="6" t="str">
        <f t="shared" si="3"/>
        <v>BXX</v>
      </c>
      <c r="P17" s="248" t="s">
        <v>1</v>
      </c>
      <c r="Q17" s="6" t="str">
        <f>$A$3&amp;".PB_SC"</f>
        <v>BXX_OVF1_FI1.PB_SC</v>
      </c>
      <c r="R17" s="248" t="s">
        <v>1</v>
      </c>
      <c r="S17" s="6" t="str">
        <f t="shared" si="1"/>
        <v>Sample Overflow Scan Enable</v>
      </c>
      <c r="T17" s="248">
        <v>0</v>
      </c>
      <c r="U17" s="248">
        <v>0</v>
      </c>
    </row>
    <row r="18" spans="1:21" x14ac:dyDescent="0.25">
      <c r="A18" s="6" t="str">
        <f>$A$3&amp;"_"&amp;"DA_HH"</f>
        <v>BXX_OVF1_FI1_DA_HH</v>
      </c>
      <c r="B18" s="6" t="str">
        <f t="shared" si="2"/>
        <v>BXX_OVF1_FI1</v>
      </c>
      <c r="C18" s="6" t="str">
        <f>$C$3 &amp; " HIHI Alarm"</f>
        <v>Sample Overflow HIHI Alarm</v>
      </c>
      <c r="D18" s="4">
        <f t="shared" si="0"/>
        <v>26</v>
      </c>
      <c r="E18" s="248" t="s">
        <v>1</v>
      </c>
      <c r="F18" s="248" t="s">
        <v>1</v>
      </c>
      <c r="G18" s="248">
        <v>0</v>
      </c>
      <c r="H18" s="248" t="s">
        <v>0</v>
      </c>
      <c r="I18" s="248" t="s">
        <v>40</v>
      </c>
      <c r="J18" s="248" t="s">
        <v>54</v>
      </c>
      <c r="K18" s="248" t="s">
        <v>51</v>
      </c>
      <c r="L18" s="248" t="s">
        <v>42</v>
      </c>
      <c r="M18" s="2">
        <v>90</v>
      </c>
      <c r="N18" s="248" t="s">
        <v>49</v>
      </c>
      <c r="O18" s="6" t="str">
        <f t="shared" si="3"/>
        <v>BXX</v>
      </c>
      <c r="P18" s="248" t="s">
        <v>1</v>
      </c>
      <c r="Q18" s="6" t="str">
        <f>$A$3&amp;".DA_HH"</f>
        <v>BXX_OVF1_FI1.DA_HH</v>
      </c>
      <c r="R18" s="248" t="s">
        <v>1</v>
      </c>
      <c r="S18" s="6" t="str">
        <f t="shared" si="1"/>
        <v>Sample Overflow HIHI Alarm</v>
      </c>
      <c r="T18" s="248">
        <v>0</v>
      </c>
      <c r="U18" s="248">
        <v>0</v>
      </c>
    </row>
    <row r="19" spans="1:21" x14ac:dyDescent="0.25">
      <c r="A19" s="6" t="str">
        <f>$A$3&amp;"_"&amp;"DA_HI"</f>
        <v>BXX_OVF1_FI1_DA_HI</v>
      </c>
      <c r="B19" s="6" t="str">
        <f t="shared" si="2"/>
        <v>BXX_OVF1_FI1</v>
      </c>
      <c r="C19" s="6" t="str">
        <f>$C$3 &amp; " HI Alarm"</f>
        <v>Sample Overflow HI Alarm</v>
      </c>
      <c r="D19" s="4">
        <f t="shared" si="0"/>
        <v>24</v>
      </c>
      <c r="E19" s="248" t="s">
        <v>1</v>
      </c>
      <c r="F19" s="248" t="s">
        <v>1</v>
      </c>
      <c r="G19" s="248">
        <v>0</v>
      </c>
      <c r="H19" s="248" t="s">
        <v>0</v>
      </c>
      <c r="I19" s="248" t="s">
        <v>40</v>
      </c>
      <c r="J19" s="248" t="s">
        <v>54</v>
      </c>
      <c r="K19" s="248" t="s">
        <v>51</v>
      </c>
      <c r="L19" s="248" t="s">
        <v>42</v>
      </c>
      <c r="M19" s="2">
        <v>90</v>
      </c>
      <c r="N19" s="248" t="s">
        <v>49</v>
      </c>
      <c r="O19" s="6" t="str">
        <f t="shared" si="3"/>
        <v>BXX</v>
      </c>
      <c r="P19" s="248" t="s">
        <v>1</v>
      </c>
      <c r="Q19" s="6" t="str">
        <f>$A$3&amp;".DA_HI"</f>
        <v>BXX_OVF1_FI1.DA_HI</v>
      </c>
      <c r="R19" s="248" t="s">
        <v>1</v>
      </c>
      <c r="S19" s="6" t="str">
        <f t="shared" si="1"/>
        <v>Sample Overflow HI Alarm</v>
      </c>
      <c r="T19" s="248">
        <v>0</v>
      </c>
      <c r="U19" s="248">
        <v>0</v>
      </c>
    </row>
    <row r="20" spans="1:21" x14ac:dyDescent="0.25">
      <c r="A20" s="6" t="str">
        <f>$A$3&amp;"_"&amp;"PB_HH"</f>
        <v>BXX_OVF1_FI1_PB_HH</v>
      </c>
      <c r="B20" s="6" t="str">
        <f t="shared" si="2"/>
        <v>BXX_OVF1_FI1</v>
      </c>
      <c r="C20" s="6" t="str">
        <f>$C$3 &amp; " HIHI Alarm Enable"</f>
        <v>Sample Overflow HIHI Alarm Enable</v>
      </c>
      <c r="D20" s="4">
        <f t="shared" si="0"/>
        <v>33</v>
      </c>
      <c r="E20" s="248" t="s">
        <v>1</v>
      </c>
      <c r="F20" s="248" t="s">
        <v>0</v>
      </c>
      <c r="G20" s="2">
        <v>600</v>
      </c>
      <c r="H20" s="248" t="s">
        <v>0</v>
      </c>
      <c r="I20" s="248" t="s">
        <v>40</v>
      </c>
      <c r="J20" s="248" t="s">
        <v>52</v>
      </c>
      <c r="K20" s="248" t="s">
        <v>53</v>
      </c>
      <c r="L20" s="248" t="s">
        <v>41</v>
      </c>
      <c r="M20" s="248">
        <v>1</v>
      </c>
      <c r="N20" s="248" t="s">
        <v>49</v>
      </c>
      <c r="O20" s="6" t="str">
        <f t="shared" si="3"/>
        <v>BXX</v>
      </c>
      <c r="P20" s="248" t="s">
        <v>1</v>
      </c>
      <c r="Q20" s="6" t="str">
        <f>$A$3&amp;".PB_HH.RE"</f>
        <v>BXX_OVF1_FI1.PB_HH.RE</v>
      </c>
      <c r="R20" s="248" t="s">
        <v>1</v>
      </c>
      <c r="S20" s="6" t="str">
        <f t="shared" si="1"/>
        <v>Sample Overflow HIHI Alarm Enable</v>
      </c>
      <c r="T20" s="248">
        <v>0</v>
      </c>
      <c r="U20" s="248">
        <v>0</v>
      </c>
    </row>
    <row r="21" spans="1:21" x14ac:dyDescent="0.25">
      <c r="A21" s="6" t="str">
        <f>$A$3&amp;"_"&amp;"PB_AR"</f>
        <v>BXX_OVF1_FI1_PB_AR</v>
      </c>
      <c r="B21" s="6" t="str">
        <f t="shared" si="2"/>
        <v>BXX_OVF1_FI1</v>
      </c>
      <c r="C21" s="6" t="str">
        <f>$C$3 &amp; " Alarm Reset"</f>
        <v>Sample Overflow Alarm Reset</v>
      </c>
      <c r="D21" s="4">
        <f t="shared" si="0"/>
        <v>27</v>
      </c>
      <c r="E21" s="248" t="s">
        <v>1</v>
      </c>
      <c r="F21" s="248" t="s">
        <v>0</v>
      </c>
      <c r="G21" s="2">
        <v>600</v>
      </c>
      <c r="H21" s="248" t="s">
        <v>0</v>
      </c>
      <c r="I21" s="248" t="s">
        <v>40</v>
      </c>
      <c r="J21" s="248" t="s">
        <v>40</v>
      </c>
      <c r="K21" s="248" t="s">
        <v>42</v>
      </c>
      <c r="L21" s="248" t="s">
        <v>41</v>
      </c>
      <c r="M21" s="248">
        <v>1</v>
      </c>
      <c r="N21" s="248" t="s">
        <v>49</v>
      </c>
      <c r="O21" s="6" t="str">
        <f t="shared" si="3"/>
        <v>BXX</v>
      </c>
      <c r="P21" s="248" t="s">
        <v>1</v>
      </c>
      <c r="Q21" s="6" t="str">
        <f>$A$3&amp;".PB_AR"</f>
        <v>BXX_OVF1_FI1.PB_AR</v>
      </c>
      <c r="R21" s="248" t="s">
        <v>1</v>
      </c>
      <c r="S21" s="6" t="str">
        <f t="shared" si="1"/>
        <v>Sample Overflow Alarm Reset</v>
      </c>
      <c r="T21" s="248">
        <v>0</v>
      </c>
      <c r="U21" s="248">
        <v>0</v>
      </c>
    </row>
    <row r="22" spans="1:21" x14ac:dyDescent="0.25">
      <c r="A22" s="6" t="str">
        <f>$A$3&amp;"_"&amp;"DA_LO"</f>
        <v>BXX_OVF1_FI1_DA_LO</v>
      </c>
      <c r="B22" s="6" t="str">
        <f t="shared" si="2"/>
        <v>BXX_OVF1_FI1</v>
      </c>
      <c r="C22" s="6" t="str">
        <f>$C$3 &amp; " LO Alarm"</f>
        <v>Sample Overflow LO Alarm</v>
      </c>
      <c r="D22" s="4">
        <f t="shared" si="0"/>
        <v>24</v>
      </c>
      <c r="E22" s="248" t="s">
        <v>1</v>
      </c>
      <c r="F22" s="248" t="s">
        <v>1</v>
      </c>
      <c r="G22" s="248">
        <v>0</v>
      </c>
      <c r="H22" s="248" t="s">
        <v>0</v>
      </c>
      <c r="I22" s="248" t="s">
        <v>40</v>
      </c>
      <c r="J22" s="248" t="s">
        <v>54</v>
      </c>
      <c r="K22" s="248" t="s">
        <v>51</v>
      </c>
      <c r="L22" s="248" t="s">
        <v>42</v>
      </c>
      <c r="M22" s="2">
        <v>90</v>
      </c>
      <c r="N22" s="248" t="s">
        <v>49</v>
      </c>
      <c r="O22" s="6" t="str">
        <f t="shared" si="3"/>
        <v>BXX</v>
      </c>
      <c r="P22" s="248" t="s">
        <v>1</v>
      </c>
      <c r="Q22" s="6" t="str">
        <f>$A$3&amp;".DA_LO"</f>
        <v>BXX_OVF1_FI1.DA_LO</v>
      </c>
      <c r="R22" s="248" t="s">
        <v>1</v>
      </c>
      <c r="S22" s="6" t="str">
        <f t="shared" si="1"/>
        <v>Sample Overflow LO Alarm</v>
      </c>
      <c r="T22" s="248">
        <v>0</v>
      </c>
      <c r="U22" s="248">
        <v>0</v>
      </c>
    </row>
    <row r="23" spans="1:21" x14ac:dyDescent="0.25">
      <c r="A23" s="3" t="str">
        <f>$A$3&amp;"_"&amp;"PB_MM"</f>
        <v>BXX_OVF1_FI1_PB_MM</v>
      </c>
      <c r="B23" s="6" t="str">
        <f t="shared" si="2"/>
        <v>BXX_OVF1_FI1</v>
      </c>
      <c r="C23" s="6" t="str">
        <f>$C$3 &amp; " Enable Limit Tracking"</f>
        <v>Sample Overflow Enable Limit Tracking</v>
      </c>
      <c r="D23" s="4">
        <f t="shared" si="0"/>
        <v>37</v>
      </c>
      <c r="E23" s="248" t="s">
        <v>1</v>
      </c>
      <c r="F23" s="248" t="s">
        <v>0</v>
      </c>
      <c r="G23" s="2">
        <v>600</v>
      </c>
      <c r="H23" s="248" t="s">
        <v>0</v>
      </c>
      <c r="I23" s="248" t="s">
        <v>40</v>
      </c>
      <c r="J23" s="248" t="s">
        <v>53</v>
      </c>
      <c r="K23" s="248" t="s">
        <v>52</v>
      </c>
      <c r="L23" s="248" t="s">
        <v>41</v>
      </c>
      <c r="M23" s="248">
        <v>1</v>
      </c>
      <c r="N23" s="248" t="s">
        <v>49</v>
      </c>
      <c r="O23" s="6" t="str">
        <f t="shared" si="3"/>
        <v>BXX</v>
      </c>
      <c r="P23" s="248" t="s">
        <v>1</v>
      </c>
      <c r="Q23" s="6" t="str">
        <f>$A$3&amp;".PB_MM"</f>
        <v>BXX_OVF1_FI1.PB_MM</v>
      </c>
      <c r="R23" s="248" t="s">
        <v>1</v>
      </c>
      <c r="S23" s="6" t="str">
        <f t="shared" si="1"/>
        <v>Sample Overflow Enable Limit Tracking</v>
      </c>
      <c r="T23" s="248">
        <v>0</v>
      </c>
      <c r="U23" s="248">
        <v>0</v>
      </c>
    </row>
    <row r="24" spans="1:21" x14ac:dyDescent="0.25">
      <c r="A24" s="3" t="str">
        <f>$A$3&amp;"_"&amp;"PB_RS"</f>
        <v>BXX_OVF1_FI1_PB_RS</v>
      </c>
      <c r="B24" s="6" t="str">
        <f t="shared" si="2"/>
        <v>BXX_OVF1_FI1</v>
      </c>
      <c r="C24" s="6" t="str">
        <f>$C$3 &amp; " Totalizer Reset"</f>
        <v>Sample Overflow Totalizer Reset</v>
      </c>
      <c r="D24" s="4">
        <f t="shared" si="0"/>
        <v>31</v>
      </c>
      <c r="E24" s="248" t="s">
        <v>1</v>
      </c>
      <c r="F24" s="248" t="s">
        <v>0</v>
      </c>
      <c r="G24" s="2">
        <v>600</v>
      </c>
      <c r="H24" s="248" t="s">
        <v>0</v>
      </c>
      <c r="I24" s="248" t="s">
        <v>40</v>
      </c>
      <c r="J24" s="248" t="s">
        <v>40</v>
      </c>
      <c r="K24" s="248" t="s">
        <v>42</v>
      </c>
      <c r="L24" s="248" t="s">
        <v>41</v>
      </c>
      <c r="M24" s="248">
        <v>1</v>
      </c>
      <c r="N24" s="248" t="s">
        <v>49</v>
      </c>
      <c r="O24" s="6" t="str">
        <f t="shared" si="3"/>
        <v>BXX</v>
      </c>
      <c r="P24" s="248" t="s">
        <v>1</v>
      </c>
      <c r="Q24" s="6" t="str">
        <f>$A$3&amp;".PB_RS"</f>
        <v>BXX_OVF1_FI1.PB_RS</v>
      </c>
      <c r="R24" s="248" t="s">
        <v>1</v>
      </c>
      <c r="S24" s="6" t="str">
        <f t="shared" si="1"/>
        <v>Sample Overflow Totalizer Reset</v>
      </c>
      <c r="T24" s="248">
        <v>0</v>
      </c>
      <c r="U24" s="248">
        <v>0</v>
      </c>
    </row>
    <row r="25" spans="1:21" x14ac:dyDescent="0.25">
      <c r="A25" s="3" t="str">
        <f>$A$3&amp;"_"&amp;"PB_HI_DE"</f>
        <v>BXX_OVF1_FI1_PB_HI_DE</v>
      </c>
      <c r="B25" s="6" t="str">
        <f t="shared" si="2"/>
        <v>BXX_OVF1_FI1</v>
      </c>
      <c r="C25" s="6" t="str">
        <f>$C$3 &amp; " High Alarm Dialer Enable"</f>
        <v>Sample Overflow High Alarm Dialer Enable</v>
      </c>
      <c r="D25" s="4">
        <f t="shared" si="0"/>
        <v>40</v>
      </c>
      <c r="E25" s="248" t="s">
        <v>1</v>
      </c>
      <c r="F25" s="248" t="s">
        <v>0</v>
      </c>
      <c r="G25" s="2">
        <v>600</v>
      </c>
      <c r="H25" s="248" t="s">
        <v>0</v>
      </c>
      <c r="I25" s="248" t="s">
        <v>40</v>
      </c>
      <c r="J25" s="248" t="s">
        <v>52</v>
      </c>
      <c r="K25" s="248" t="s">
        <v>53</v>
      </c>
      <c r="L25" s="248" t="s">
        <v>41</v>
      </c>
      <c r="M25" s="248">
        <v>1</v>
      </c>
      <c r="N25" s="248" t="s">
        <v>49</v>
      </c>
      <c r="O25" s="6" t="str">
        <f t="shared" si="3"/>
        <v>BXX</v>
      </c>
      <c r="P25" s="248" t="s">
        <v>1</v>
      </c>
      <c r="Q25" s="6" t="str">
        <f>$A$3&amp;".PB_HI.DE"</f>
        <v>BXX_OVF1_FI1.PB_HI.DE</v>
      </c>
      <c r="R25" s="248" t="s">
        <v>1</v>
      </c>
      <c r="S25" s="6" t="str">
        <f t="shared" si="1"/>
        <v>Sample Overflow High Alarm Dialer Enable</v>
      </c>
      <c r="T25" s="248">
        <v>0</v>
      </c>
      <c r="U25" s="248">
        <v>0</v>
      </c>
    </row>
    <row r="26" spans="1:21" x14ac:dyDescent="0.25">
      <c r="A26" s="3" t="str">
        <f>$A$3&amp;"_"&amp;"PB_LO_DE"</f>
        <v>BXX_OVF1_FI1_PB_LO_DE</v>
      </c>
      <c r="B26" s="6" t="str">
        <f t="shared" si="2"/>
        <v>BXX_OVF1_FI1</v>
      </c>
      <c r="C26" s="6" t="str">
        <f>$C$3 &amp; " Low Alarm Dialer Enable"</f>
        <v>Sample Overflow Low Alarm Dialer Enable</v>
      </c>
      <c r="D26" s="4">
        <f t="shared" si="0"/>
        <v>39</v>
      </c>
      <c r="E26" s="248" t="s">
        <v>1</v>
      </c>
      <c r="F26" s="248" t="s">
        <v>0</v>
      </c>
      <c r="G26" s="2">
        <v>600</v>
      </c>
      <c r="H26" s="248" t="s">
        <v>0</v>
      </c>
      <c r="I26" s="248" t="s">
        <v>40</v>
      </c>
      <c r="J26" s="248" t="s">
        <v>52</v>
      </c>
      <c r="K26" s="248" t="s">
        <v>53</v>
      </c>
      <c r="L26" s="248" t="s">
        <v>41</v>
      </c>
      <c r="M26" s="248">
        <v>1</v>
      </c>
      <c r="N26" s="248" t="s">
        <v>49</v>
      </c>
      <c r="O26" s="6" t="str">
        <f t="shared" si="3"/>
        <v>BXX</v>
      </c>
      <c r="P26" s="248" t="s">
        <v>1</v>
      </c>
      <c r="Q26" s="6" t="str">
        <f>$A$3&amp;".PB_LO.DE"</f>
        <v>BXX_OVF1_FI1.PB_LO.DE</v>
      </c>
      <c r="R26" s="248" t="s">
        <v>1</v>
      </c>
      <c r="S26" s="6" t="str">
        <f t="shared" si="1"/>
        <v>Sample Overflow Low Alarm Dialer Enable</v>
      </c>
      <c r="T26" s="248">
        <v>0</v>
      </c>
      <c r="U26" s="248">
        <v>0</v>
      </c>
    </row>
    <row r="27" spans="1:21" x14ac:dyDescent="0.25">
      <c r="A27" s="3" t="str">
        <f>$A$3&amp;"_"&amp;"PB_LL_DE"</f>
        <v>BXX_OVF1_FI1_PB_LL_DE</v>
      </c>
      <c r="B27" s="6" t="str">
        <f t="shared" si="2"/>
        <v>BXX_OVF1_FI1</v>
      </c>
      <c r="C27" s="6" t="str">
        <f>$C$3 &amp; " LOLO Alarm Dialer Enable"</f>
        <v>Sample Overflow LOLO Alarm Dialer Enable</v>
      </c>
      <c r="D27" s="4">
        <f t="shared" si="0"/>
        <v>40</v>
      </c>
      <c r="E27" s="248" t="s">
        <v>1</v>
      </c>
      <c r="F27" s="248" t="s">
        <v>0</v>
      </c>
      <c r="G27" s="2">
        <v>600</v>
      </c>
      <c r="H27" s="248" t="s">
        <v>0</v>
      </c>
      <c r="I27" s="248" t="s">
        <v>40</v>
      </c>
      <c r="J27" s="248" t="s">
        <v>52</v>
      </c>
      <c r="K27" s="248" t="s">
        <v>53</v>
      </c>
      <c r="L27" s="248" t="s">
        <v>41</v>
      </c>
      <c r="M27" s="248">
        <v>1</v>
      </c>
      <c r="N27" s="248" t="s">
        <v>49</v>
      </c>
      <c r="O27" s="6" t="str">
        <f t="shared" si="3"/>
        <v>BXX</v>
      </c>
      <c r="P27" s="248" t="s">
        <v>1</v>
      </c>
      <c r="Q27" s="6" t="str">
        <f>$A$3&amp;".PB_LL.DE"</f>
        <v>BXX_OVF1_FI1.PB_LL.DE</v>
      </c>
      <c r="R27" s="248" t="s">
        <v>1</v>
      </c>
      <c r="S27" s="6" t="str">
        <f t="shared" si="1"/>
        <v>Sample Overflow LOLO Alarm Dialer Enable</v>
      </c>
      <c r="T27" s="248">
        <v>0</v>
      </c>
      <c r="U27" s="248">
        <v>0</v>
      </c>
    </row>
    <row r="28" spans="1:21" x14ac:dyDescent="0.25">
      <c r="A28" s="3" t="str">
        <f>$A$3&amp;"_"&amp;"PB_ER_DE"</f>
        <v>BXX_OVF1_FI1_PB_ER_DE</v>
      </c>
      <c r="B28" s="6" t="str">
        <f t="shared" si="2"/>
        <v>BXX_OVF1_FI1</v>
      </c>
      <c r="C28" s="6" t="str">
        <f>$C$3 &amp; " Signal Error Alarm Dialer En"</f>
        <v>Sample Overflow Signal Error Alarm Dialer En</v>
      </c>
      <c r="D28" s="4">
        <f t="shared" si="0"/>
        <v>44</v>
      </c>
      <c r="E28" s="248" t="s">
        <v>1</v>
      </c>
      <c r="F28" s="248" t="s">
        <v>0</v>
      </c>
      <c r="G28" s="2">
        <v>600</v>
      </c>
      <c r="H28" s="248" t="s">
        <v>0</v>
      </c>
      <c r="I28" s="248" t="s">
        <v>40</v>
      </c>
      <c r="J28" s="248" t="s">
        <v>52</v>
      </c>
      <c r="K28" s="248" t="s">
        <v>53</v>
      </c>
      <c r="L28" s="248" t="s">
        <v>41</v>
      </c>
      <c r="M28" s="248">
        <v>1</v>
      </c>
      <c r="N28" s="248" t="s">
        <v>49</v>
      </c>
      <c r="O28" s="6" t="str">
        <f t="shared" si="3"/>
        <v>BXX</v>
      </c>
      <c r="P28" s="248" t="s">
        <v>1</v>
      </c>
      <c r="Q28" s="6" t="str">
        <f>$A$3&amp;".PB_ER.DE"</f>
        <v>BXX_OVF1_FI1.PB_ER.DE</v>
      </c>
      <c r="R28" s="248" t="s">
        <v>1</v>
      </c>
      <c r="S28" s="6" t="str">
        <f t="shared" si="1"/>
        <v>Sample Overflow Signal Error Alarm Dialer En</v>
      </c>
      <c r="T28" s="248">
        <v>0</v>
      </c>
      <c r="U28" s="248">
        <v>0</v>
      </c>
    </row>
    <row r="29" spans="1:21" x14ac:dyDescent="0.25">
      <c r="A29" s="3" t="str">
        <f>$A$3&amp;"_"&amp;"PB_HH_DE"</f>
        <v>BXX_OVF1_FI1_PB_HH_DE</v>
      </c>
      <c r="B29" s="6" t="str">
        <f t="shared" si="2"/>
        <v>BXX_OVF1_FI1</v>
      </c>
      <c r="C29" s="6" t="str">
        <f>$C$3 &amp; " HIHI Alarm Dialer Enable"</f>
        <v>Sample Overflow HIHI Alarm Dialer Enable</v>
      </c>
      <c r="D29" s="4">
        <f t="shared" si="0"/>
        <v>40</v>
      </c>
      <c r="E29" s="248" t="s">
        <v>1</v>
      </c>
      <c r="F29" s="248" t="s">
        <v>0</v>
      </c>
      <c r="G29" s="2">
        <v>600</v>
      </c>
      <c r="H29" s="248" t="s">
        <v>0</v>
      </c>
      <c r="I29" s="248" t="s">
        <v>40</v>
      </c>
      <c r="J29" s="248" t="s">
        <v>52</v>
      </c>
      <c r="K29" s="248" t="s">
        <v>53</v>
      </c>
      <c r="L29" s="248" t="s">
        <v>41</v>
      </c>
      <c r="M29" s="248">
        <v>1</v>
      </c>
      <c r="N29" s="248" t="s">
        <v>49</v>
      </c>
      <c r="O29" s="6" t="str">
        <f t="shared" si="3"/>
        <v>BXX</v>
      </c>
      <c r="P29" s="248" t="s">
        <v>1</v>
      </c>
      <c r="Q29" s="6" t="str">
        <f>$A$3&amp;".PB_HH.DE"</f>
        <v>BXX_OVF1_FI1.PB_HH.DE</v>
      </c>
      <c r="R29" s="248" t="s">
        <v>1</v>
      </c>
      <c r="S29" s="6" t="str">
        <f t="shared" si="1"/>
        <v>Sample Overflow HIHI Alarm Dialer Enable</v>
      </c>
      <c r="T29" s="248">
        <v>0</v>
      </c>
      <c r="U29" s="248">
        <v>0</v>
      </c>
    </row>
    <row r="30" spans="1:21" x14ac:dyDescent="0.25">
      <c r="A30" s="3" t="str">
        <f>$A$3&amp;"_"&amp;"PB_AE_DE"</f>
        <v>BXX_OVF1_FI1_PB_AE_DE</v>
      </c>
      <c r="B30" s="6" t="str">
        <f t="shared" si="2"/>
        <v>BXX_OVF1_FI1</v>
      </c>
      <c r="C30" s="6" t="str">
        <f>$C$3 &amp; " Alarms Dialer Enable"</f>
        <v>Sample Overflow Alarms Dialer Enable</v>
      </c>
      <c r="D30" s="4">
        <f t="shared" si="0"/>
        <v>36</v>
      </c>
      <c r="E30" s="248" t="s">
        <v>1</v>
      </c>
      <c r="F30" s="248" t="s">
        <v>0</v>
      </c>
      <c r="G30" s="2">
        <v>600</v>
      </c>
      <c r="H30" s="248" t="s">
        <v>0</v>
      </c>
      <c r="I30" s="248" t="s">
        <v>40</v>
      </c>
      <c r="J30" s="248" t="s">
        <v>52</v>
      </c>
      <c r="K30" s="248" t="s">
        <v>53</v>
      </c>
      <c r="L30" s="248" t="s">
        <v>41</v>
      </c>
      <c r="M30" s="248">
        <v>1</v>
      </c>
      <c r="N30" s="248" t="s">
        <v>49</v>
      </c>
      <c r="O30" s="6" t="str">
        <f t="shared" si="3"/>
        <v>BXX</v>
      </c>
      <c r="P30" s="248" t="s">
        <v>1</v>
      </c>
      <c r="Q30" s="6" t="str">
        <f>$A$3&amp;".PB_AE.DE"</f>
        <v>BXX_OVF1_FI1.PB_AE.DE</v>
      </c>
      <c r="R30" s="248" t="s">
        <v>1</v>
      </c>
      <c r="S30" s="6" t="str">
        <f t="shared" si="1"/>
        <v>Sample Overflow Alarms Dialer Enable</v>
      </c>
      <c r="T30" s="248">
        <v>0</v>
      </c>
      <c r="U30" s="248">
        <v>0</v>
      </c>
    </row>
    <row r="31" spans="1:21" x14ac:dyDescent="0.25">
      <c r="A31" s="3" t="str">
        <f>$A$3&amp;"_"&amp;"PB_HI_SR"</f>
        <v>BXX_OVF1_FI1_PB_HI_SR</v>
      </c>
      <c r="B31" s="6" t="str">
        <f t="shared" si="2"/>
        <v>BXX_OVF1_FI1</v>
      </c>
      <c r="C31" s="6" t="str">
        <f>$C$3 &amp; " High Alarm Sup Enable"</f>
        <v>Sample Overflow High Alarm Sup Enable</v>
      </c>
      <c r="D31" s="4">
        <f t="shared" si="0"/>
        <v>37</v>
      </c>
      <c r="E31" s="248" t="s">
        <v>1</v>
      </c>
      <c r="F31" s="248" t="s">
        <v>0</v>
      </c>
      <c r="G31" s="2">
        <v>600</v>
      </c>
      <c r="H31" s="248" t="s">
        <v>0</v>
      </c>
      <c r="I31" s="248" t="s">
        <v>40</v>
      </c>
      <c r="J31" s="248" t="s">
        <v>52</v>
      </c>
      <c r="K31" s="248" t="s">
        <v>53</v>
      </c>
      <c r="L31" s="248" t="s">
        <v>41</v>
      </c>
      <c r="M31" s="248">
        <v>1</v>
      </c>
      <c r="N31" s="248" t="s">
        <v>49</v>
      </c>
      <c r="O31" s="6" t="str">
        <f t="shared" si="3"/>
        <v>BXX</v>
      </c>
      <c r="P31" s="248" t="s">
        <v>1</v>
      </c>
      <c r="Q31" s="6" t="str">
        <f>$A$3&amp;".PB_HI.SR"</f>
        <v>BXX_OVF1_FI1.PB_HI.SR</v>
      </c>
      <c r="R31" s="248" t="s">
        <v>1</v>
      </c>
      <c r="S31" s="6" t="str">
        <f t="shared" si="1"/>
        <v>Sample Overflow High Alarm Sup Enable</v>
      </c>
      <c r="T31" s="248">
        <v>0</v>
      </c>
      <c r="U31" s="248">
        <v>0</v>
      </c>
    </row>
    <row r="32" spans="1:21" x14ac:dyDescent="0.25">
      <c r="A32" s="3" t="str">
        <f>$A$3&amp;"_"&amp;"PB_LO_SR"</f>
        <v>BXX_OVF1_FI1_PB_LO_SR</v>
      </c>
      <c r="B32" s="6" t="str">
        <f t="shared" si="2"/>
        <v>BXX_OVF1_FI1</v>
      </c>
      <c r="C32" s="6" t="str">
        <f>$C$3 &amp; " Low Alarm Sup Enable"</f>
        <v>Sample Overflow Low Alarm Sup Enable</v>
      </c>
      <c r="D32" s="4">
        <f t="shared" si="0"/>
        <v>36</v>
      </c>
      <c r="E32" s="248" t="s">
        <v>1</v>
      </c>
      <c r="F32" s="248" t="s">
        <v>0</v>
      </c>
      <c r="G32" s="2">
        <v>600</v>
      </c>
      <c r="H32" s="248" t="s">
        <v>0</v>
      </c>
      <c r="I32" s="248" t="s">
        <v>40</v>
      </c>
      <c r="J32" s="248" t="s">
        <v>52</v>
      </c>
      <c r="K32" s="248" t="s">
        <v>53</v>
      </c>
      <c r="L32" s="248" t="s">
        <v>41</v>
      </c>
      <c r="M32" s="248">
        <v>1</v>
      </c>
      <c r="N32" s="248" t="s">
        <v>49</v>
      </c>
      <c r="O32" s="6" t="str">
        <f t="shared" si="3"/>
        <v>BXX</v>
      </c>
      <c r="P32" s="248" t="s">
        <v>1</v>
      </c>
      <c r="Q32" s="6" t="str">
        <f>$A$3&amp;".PB_LO.SR"</f>
        <v>BXX_OVF1_FI1.PB_LO.SR</v>
      </c>
      <c r="R32" s="248" t="s">
        <v>1</v>
      </c>
      <c r="S32" s="6" t="str">
        <f t="shared" si="1"/>
        <v>Sample Overflow Low Alarm Sup Enable</v>
      </c>
      <c r="T32" s="248">
        <v>0</v>
      </c>
      <c r="U32" s="248">
        <v>0</v>
      </c>
    </row>
    <row r="33" spans="1:64" x14ac:dyDescent="0.25">
      <c r="A33" s="3" t="str">
        <f>$A$3&amp;"_"&amp;"PB_LL_SR"</f>
        <v>BXX_OVF1_FI1_PB_LL_SR</v>
      </c>
      <c r="B33" s="6" t="str">
        <f t="shared" si="2"/>
        <v>BXX_OVF1_FI1</v>
      </c>
      <c r="C33" s="6" t="str">
        <f>$C$3 &amp; " LOLO Alarm Sup Enable"</f>
        <v>Sample Overflow LOLO Alarm Sup Enable</v>
      </c>
      <c r="D33" s="4">
        <f t="shared" si="0"/>
        <v>37</v>
      </c>
      <c r="E33" s="248" t="s">
        <v>1</v>
      </c>
      <c r="F33" s="248" t="s">
        <v>0</v>
      </c>
      <c r="G33" s="2">
        <v>600</v>
      </c>
      <c r="H33" s="248" t="s">
        <v>0</v>
      </c>
      <c r="I33" s="248" t="s">
        <v>40</v>
      </c>
      <c r="J33" s="248" t="s">
        <v>52</v>
      </c>
      <c r="K33" s="248" t="s">
        <v>53</v>
      </c>
      <c r="L33" s="248" t="s">
        <v>41</v>
      </c>
      <c r="M33" s="248">
        <v>1</v>
      </c>
      <c r="N33" s="248" t="s">
        <v>49</v>
      </c>
      <c r="O33" s="6" t="str">
        <f t="shared" si="3"/>
        <v>BXX</v>
      </c>
      <c r="P33" s="248" t="s">
        <v>1</v>
      </c>
      <c r="Q33" s="6" t="str">
        <f>$A$3&amp;".PB_LL.SR"</f>
        <v>BXX_OVF1_FI1.PB_LL.SR</v>
      </c>
      <c r="R33" s="248" t="s">
        <v>1</v>
      </c>
      <c r="S33" s="6" t="str">
        <f t="shared" si="1"/>
        <v>Sample Overflow LOLO Alarm Sup Enable</v>
      </c>
      <c r="T33" s="248">
        <v>0</v>
      </c>
      <c r="U33" s="248">
        <v>0</v>
      </c>
    </row>
    <row r="34" spans="1:64" x14ac:dyDescent="0.25">
      <c r="A34" s="3" t="str">
        <f>$A$3&amp;"_"&amp;"PB_ER_SR"</f>
        <v>BXX_OVF1_FI1_PB_ER_SR</v>
      </c>
      <c r="B34" s="6" t="str">
        <f t="shared" si="2"/>
        <v>BXX_OVF1_FI1</v>
      </c>
      <c r="C34" s="6" t="str">
        <f>$C$3 &amp; " Signal Error Alarm Sup En"</f>
        <v>Sample Overflow Signal Error Alarm Sup En</v>
      </c>
      <c r="D34" s="4">
        <f t="shared" si="0"/>
        <v>41</v>
      </c>
      <c r="E34" s="248" t="s">
        <v>1</v>
      </c>
      <c r="F34" s="248" t="s">
        <v>0</v>
      </c>
      <c r="G34" s="2">
        <v>600</v>
      </c>
      <c r="H34" s="248" t="s">
        <v>0</v>
      </c>
      <c r="I34" s="248" t="s">
        <v>40</v>
      </c>
      <c r="J34" s="248" t="s">
        <v>52</v>
      </c>
      <c r="K34" s="248" t="s">
        <v>53</v>
      </c>
      <c r="L34" s="248" t="s">
        <v>41</v>
      </c>
      <c r="M34" s="248">
        <v>1</v>
      </c>
      <c r="N34" s="248" t="s">
        <v>49</v>
      </c>
      <c r="O34" s="6" t="str">
        <f t="shared" si="3"/>
        <v>BXX</v>
      </c>
      <c r="P34" s="248" t="s">
        <v>1</v>
      </c>
      <c r="Q34" s="6" t="str">
        <f>$A$3&amp;".PB_ER.SR"</f>
        <v>BXX_OVF1_FI1.PB_ER.SR</v>
      </c>
      <c r="R34" s="248" t="s">
        <v>1</v>
      </c>
      <c r="S34" s="6" t="str">
        <f t="shared" si="1"/>
        <v>Sample Overflow Signal Error Alarm Sup En</v>
      </c>
      <c r="T34" s="248">
        <v>0</v>
      </c>
      <c r="U34" s="248">
        <v>0</v>
      </c>
    </row>
    <row r="35" spans="1:64" x14ac:dyDescent="0.25">
      <c r="A35" s="3" t="str">
        <f>$A$3&amp;"_"&amp;"PB_HH_SR"</f>
        <v>BXX_OVF1_FI1_PB_HH_SR</v>
      </c>
      <c r="B35" s="6" t="str">
        <f t="shared" si="2"/>
        <v>BXX_OVF1_FI1</v>
      </c>
      <c r="C35" s="6" t="str">
        <f>$C$3 &amp; " HIHI Alarm Sup Enable"</f>
        <v>Sample Overflow HIHI Alarm Sup Enable</v>
      </c>
      <c r="D35" s="4">
        <f t="shared" si="0"/>
        <v>37</v>
      </c>
      <c r="E35" s="248" t="s">
        <v>1</v>
      </c>
      <c r="F35" s="248" t="s">
        <v>0</v>
      </c>
      <c r="G35" s="2">
        <v>600</v>
      </c>
      <c r="H35" s="248" t="s">
        <v>0</v>
      </c>
      <c r="I35" s="248" t="s">
        <v>40</v>
      </c>
      <c r="J35" s="248" t="s">
        <v>52</v>
      </c>
      <c r="K35" s="248" t="s">
        <v>53</v>
      </c>
      <c r="L35" s="248" t="s">
        <v>41</v>
      </c>
      <c r="M35" s="248">
        <v>1</v>
      </c>
      <c r="N35" s="248" t="s">
        <v>49</v>
      </c>
      <c r="O35" s="6" t="str">
        <f t="shared" si="3"/>
        <v>BXX</v>
      </c>
      <c r="P35" s="248" t="s">
        <v>1</v>
      </c>
      <c r="Q35" s="6" t="str">
        <f>$A$3&amp;".PB_HH.SR"</f>
        <v>BXX_OVF1_FI1.PB_HH.SR</v>
      </c>
      <c r="R35" s="248" t="s">
        <v>1</v>
      </c>
      <c r="S35" s="6" t="str">
        <f t="shared" si="1"/>
        <v>Sample Overflow HIHI Alarm Sup Enable</v>
      </c>
      <c r="T35" s="248">
        <v>0</v>
      </c>
      <c r="U35" s="248">
        <v>0</v>
      </c>
    </row>
    <row r="36" spans="1:64" x14ac:dyDescent="0.25">
      <c r="A36" s="3" t="str">
        <f>$A$3&amp;"_"&amp;"PB_AE_SR"</f>
        <v>BXX_OVF1_FI1_PB_AE_SR</v>
      </c>
      <c r="B36" s="6" t="str">
        <f t="shared" si="2"/>
        <v>BXX_OVF1_FI1</v>
      </c>
      <c r="C36" s="6" t="str">
        <f>$C$3 &amp; " Alarms Sup Enable"</f>
        <v>Sample Overflow Alarms Sup Enable</v>
      </c>
      <c r="D36" s="4">
        <f t="shared" si="0"/>
        <v>33</v>
      </c>
      <c r="E36" s="248" t="s">
        <v>1</v>
      </c>
      <c r="F36" s="248" t="s">
        <v>0</v>
      </c>
      <c r="G36" s="2">
        <v>600</v>
      </c>
      <c r="H36" s="248" t="s">
        <v>0</v>
      </c>
      <c r="I36" s="248" t="s">
        <v>40</v>
      </c>
      <c r="J36" s="248" t="s">
        <v>52</v>
      </c>
      <c r="K36" s="248" t="s">
        <v>53</v>
      </c>
      <c r="L36" s="248" t="s">
        <v>41</v>
      </c>
      <c r="M36" s="248">
        <v>1</v>
      </c>
      <c r="N36" s="248" t="s">
        <v>49</v>
      </c>
      <c r="O36" s="6" t="str">
        <f t="shared" si="3"/>
        <v>BXX</v>
      </c>
      <c r="P36" s="248" t="s">
        <v>1</v>
      </c>
      <c r="Q36" s="6" t="str">
        <f>$A$3&amp;".PB_AE.SR"</f>
        <v>BXX_OVF1_FI1.PB_AE.SR</v>
      </c>
      <c r="R36" s="248" t="s">
        <v>1</v>
      </c>
      <c r="S36" s="6" t="str">
        <f t="shared" si="1"/>
        <v>Sample Overflow Alarms Sup Enable</v>
      </c>
      <c r="T36" s="248">
        <v>0</v>
      </c>
      <c r="U36" s="248">
        <v>0</v>
      </c>
    </row>
    <row r="37" spans="1:64" s="249" customFormat="1" x14ac:dyDescent="0.25">
      <c r="A37" s="6" t="str">
        <f>$A$3&amp;"_"&amp;"DI_SS"</f>
        <v>BXX_OVF1_FI1_DI_SS</v>
      </c>
      <c r="B37" s="6" t="str">
        <f t="shared" si="2"/>
        <v>BXX_OVF1_FI1</v>
      </c>
      <c r="C37" s="6" t="str">
        <f>$C$3 &amp; " Event"</f>
        <v>Sample Overflow Event</v>
      </c>
      <c r="D37" s="4">
        <f t="shared" si="0"/>
        <v>21</v>
      </c>
      <c r="E37" s="250" t="s">
        <v>1</v>
      </c>
      <c r="F37" s="250" t="s">
        <v>0</v>
      </c>
      <c r="G37" s="2">
        <v>700</v>
      </c>
      <c r="H37" s="250" t="s">
        <v>0</v>
      </c>
      <c r="I37" s="250" t="s">
        <v>40</v>
      </c>
      <c r="J37" s="250" t="s">
        <v>50</v>
      </c>
      <c r="K37" s="250" t="s">
        <v>482</v>
      </c>
      <c r="L37" s="250" t="s">
        <v>41</v>
      </c>
      <c r="M37" s="250">
        <v>1</v>
      </c>
      <c r="N37" s="250" t="s">
        <v>49</v>
      </c>
      <c r="O37" s="6" t="str">
        <f t="shared" si="3"/>
        <v>BXX</v>
      </c>
      <c r="P37" s="250" t="s">
        <v>1</v>
      </c>
      <c r="Q37" s="6" t="str">
        <f>(LEFT($A$3,7))&amp;"TL1.DI_SS"</f>
        <v>BXX_OVFTL1.DI_SS</v>
      </c>
      <c r="R37" s="250" t="s">
        <v>1</v>
      </c>
      <c r="S37" s="6" t="str">
        <f t="shared" si="1"/>
        <v>Sample Overflow Event</v>
      </c>
      <c r="T37" s="250">
        <v>0</v>
      </c>
      <c r="U37" s="250">
        <v>0</v>
      </c>
    </row>
    <row r="38" spans="1:64" s="249" customFormat="1" x14ac:dyDescent="0.25">
      <c r="A38" s="6" t="str">
        <f>$A$3&amp;"_"&amp;"DA_SS"</f>
        <v>BXX_OVF1_FI1_DA_SS</v>
      </c>
      <c r="B38" s="6" t="str">
        <f t="shared" si="2"/>
        <v>BXX_OVF1_FI1</v>
      </c>
      <c r="C38" s="6" t="str">
        <f>$C$3 &amp; " Alarm"</f>
        <v>Sample Overflow Alarm</v>
      </c>
      <c r="D38" s="4">
        <f t="shared" si="0"/>
        <v>21</v>
      </c>
      <c r="E38" s="250" t="s">
        <v>1</v>
      </c>
      <c r="F38" s="250" t="s">
        <v>1</v>
      </c>
      <c r="G38" s="250">
        <v>0</v>
      </c>
      <c r="H38" s="250" t="s">
        <v>0</v>
      </c>
      <c r="I38" s="250" t="s">
        <v>40</v>
      </c>
      <c r="J38" s="250" t="s">
        <v>50</v>
      </c>
      <c r="K38" s="250" t="s">
        <v>51</v>
      </c>
      <c r="L38" s="250" t="s">
        <v>42</v>
      </c>
      <c r="M38" s="2">
        <v>9</v>
      </c>
      <c r="N38" s="250" t="s">
        <v>49</v>
      </c>
      <c r="O38" s="6" t="str">
        <f t="shared" si="3"/>
        <v>BXX</v>
      </c>
      <c r="P38" s="250" t="s">
        <v>1</v>
      </c>
      <c r="Q38" s="6" t="str">
        <f>(LEFT($A$3,7))&amp;"TL1.DA_SS"</f>
        <v>BXX_OVFTL1.DA_SS</v>
      </c>
      <c r="R38" s="250" t="s">
        <v>1</v>
      </c>
      <c r="S38" s="6" t="str">
        <f t="shared" si="1"/>
        <v>Sample Overflow Alarm</v>
      </c>
      <c r="T38" s="250">
        <v>0</v>
      </c>
      <c r="U38" s="250">
        <v>0</v>
      </c>
    </row>
    <row r="39" spans="1:64" s="251" customFormat="1" x14ac:dyDescent="0.25">
      <c r="A39" s="6" t="str">
        <f>$A$3&amp;"_"&amp;"PB_RS"</f>
        <v>BXX_OVF1_FI1_PB_RS</v>
      </c>
      <c r="B39" s="6" t="str">
        <f t="shared" si="2"/>
        <v>BXX_OVF1_FI1</v>
      </c>
      <c r="C39" s="6" t="str">
        <f>$C$3 &amp; " Manual Reset"</f>
        <v>Sample Overflow Manual Reset</v>
      </c>
      <c r="D39" s="4">
        <f t="shared" si="0"/>
        <v>28</v>
      </c>
      <c r="E39" s="252" t="s">
        <v>1</v>
      </c>
      <c r="F39" s="252" t="s">
        <v>0</v>
      </c>
      <c r="G39" s="2">
        <v>600</v>
      </c>
      <c r="H39" s="252" t="s">
        <v>0</v>
      </c>
      <c r="I39" s="252" t="s">
        <v>40</v>
      </c>
      <c r="J39" s="252" t="s">
        <v>40</v>
      </c>
      <c r="K39" s="252" t="s">
        <v>58</v>
      </c>
      <c r="L39" s="252" t="s">
        <v>41</v>
      </c>
      <c r="M39" s="252">
        <v>1</v>
      </c>
      <c r="N39" s="252" t="s">
        <v>49</v>
      </c>
      <c r="O39" s="6" t="str">
        <f t="shared" si="3"/>
        <v>BXX</v>
      </c>
      <c r="P39" s="252" t="s">
        <v>1</v>
      </c>
      <c r="Q39" s="6" t="str">
        <f>(LEFT($A$3,7))&amp;"TL1.PB_RS"</f>
        <v>BXX_OVFTL1.PB_RS</v>
      </c>
      <c r="R39" s="252" t="s">
        <v>1</v>
      </c>
      <c r="S39" s="6" t="str">
        <f t="shared" si="1"/>
        <v>Sample Overflow Manual Reset</v>
      </c>
      <c r="T39" s="252">
        <v>0</v>
      </c>
      <c r="U39" s="252">
        <v>0</v>
      </c>
    </row>
    <row r="40" spans="1:64" x14ac:dyDescent="0.25">
      <c r="A40" s="248" t="s">
        <v>100</v>
      </c>
      <c r="B40" s="248" t="s">
        <v>4</v>
      </c>
      <c r="C40" s="248" t="s">
        <v>5</v>
      </c>
      <c r="E40" s="248" t="s">
        <v>30</v>
      </c>
      <c r="F40" s="248" t="s">
        <v>6</v>
      </c>
      <c r="G40" s="248" t="s">
        <v>7</v>
      </c>
      <c r="H40" s="248" t="s">
        <v>31</v>
      </c>
      <c r="I40" s="248" t="s">
        <v>66</v>
      </c>
      <c r="J40" s="248" t="s">
        <v>67</v>
      </c>
      <c r="K40" s="248" t="s">
        <v>68</v>
      </c>
      <c r="L40" s="248" t="s">
        <v>69</v>
      </c>
      <c r="M40" s="248" t="s">
        <v>70</v>
      </c>
      <c r="N40" s="248" t="s">
        <v>101</v>
      </c>
      <c r="O40" s="248" t="s">
        <v>102</v>
      </c>
      <c r="P40" s="248" t="s">
        <v>73</v>
      </c>
      <c r="Q40" s="248" t="s">
        <v>74</v>
      </c>
      <c r="R40" s="248" t="s">
        <v>75</v>
      </c>
      <c r="S40" s="248" t="s">
        <v>76</v>
      </c>
      <c r="T40" s="248" t="s">
        <v>77</v>
      </c>
      <c r="U40" s="248" t="s">
        <v>78</v>
      </c>
      <c r="V40" s="248" t="s">
        <v>79</v>
      </c>
      <c r="W40" s="248" t="s">
        <v>80</v>
      </c>
      <c r="X40" s="248" t="s">
        <v>81</v>
      </c>
      <c r="Y40" s="248" t="s">
        <v>82</v>
      </c>
      <c r="Z40" s="248" t="s">
        <v>83</v>
      </c>
      <c r="AA40" s="248" t="s">
        <v>84</v>
      </c>
      <c r="AB40" s="248" t="s">
        <v>85</v>
      </c>
      <c r="AC40" s="248" t="s">
        <v>86</v>
      </c>
      <c r="AD40" s="248" t="s">
        <v>87</v>
      </c>
      <c r="AE40" s="248" t="s">
        <v>88</v>
      </c>
      <c r="AF40" s="248" t="s">
        <v>89</v>
      </c>
      <c r="AG40" s="248" t="s">
        <v>90</v>
      </c>
      <c r="AH40" s="248" t="s">
        <v>91</v>
      </c>
      <c r="AI40" s="248" t="s">
        <v>92</v>
      </c>
      <c r="AJ40" s="248" t="s">
        <v>93</v>
      </c>
      <c r="AK40" s="248" t="s">
        <v>94</v>
      </c>
      <c r="AL40" s="248" t="s">
        <v>95</v>
      </c>
      <c r="AM40" s="248" t="s">
        <v>96</v>
      </c>
      <c r="AN40" s="248" t="s">
        <v>97</v>
      </c>
      <c r="AO40" s="248" t="s">
        <v>103</v>
      </c>
      <c r="AP40" s="248" t="s">
        <v>104</v>
      </c>
      <c r="AQ40" s="248" t="s">
        <v>105</v>
      </c>
      <c r="AR40" s="248" t="s">
        <v>45</v>
      </c>
      <c r="AS40" s="248" t="s">
        <v>46</v>
      </c>
      <c r="AT40" s="248" t="s">
        <v>47</v>
      </c>
      <c r="AU40" s="248" t="s">
        <v>48</v>
      </c>
      <c r="AV40" s="248" t="s">
        <v>37</v>
      </c>
      <c r="AW40" s="248" t="s">
        <v>38</v>
      </c>
      <c r="AX40" s="248" t="s">
        <v>8</v>
      </c>
      <c r="AY40" s="248" t="s">
        <v>9</v>
      </c>
      <c r="AZ40" s="248" t="s">
        <v>10</v>
      </c>
      <c r="BA40" s="248" t="s">
        <v>11</v>
      </c>
      <c r="BB40" s="248" t="s">
        <v>12</v>
      </c>
      <c r="BC40" s="248" t="s">
        <v>13</v>
      </c>
      <c r="BD40" s="248" t="s">
        <v>14</v>
      </c>
      <c r="BE40" s="248" t="s">
        <v>16</v>
      </c>
      <c r="BF40" s="248" t="s">
        <v>17</v>
      </c>
      <c r="BG40" s="248" t="s">
        <v>18</v>
      </c>
      <c r="BH40" s="248" t="s">
        <v>19</v>
      </c>
      <c r="BI40" s="248" t="s">
        <v>20</v>
      </c>
      <c r="BJ40" s="248" t="s">
        <v>21</v>
      </c>
      <c r="BK40" s="248" t="s">
        <v>22</v>
      </c>
      <c r="BL40" s="248" t="s">
        <v>39</v>
      </c>
    </row>
    <row r="41" spans="1:64" x14ac:dyDescent="0.25">
      <c r="A41" s="6" t="str">
        <f>$A$3&amp;"_"&amp;"AI_VI"</f>
        <v>BXX_OVF1_FI1_AI_VI</v>
      </c>
      <c r="B41" s="6" t="str">
        <f t="shared" ref="B41:B58" si="4">$A$3</f>
        <v>BXX_OVF1_FI1</v>
      </c>
      <c r="C41" s="6" t="str">
        <f>$C$3 &amp; " Number of Visible Eng Values"</f>
        <v>Sample Overflow Number of Visible Eng Values</v>
      </c>
      <c r="D41" s="4">
        <f t="shared" ref="D41:D60" si="5">LEN(C41)</f>
        <v>44</v>
      </c>
      <c r="E41" s="248" t="s">
        <v>1</v>
      </c>
      <c r="F41" s="248" t="s">
        <v>0</v>
      </c>
      <c r="G41" s="2">
        <v>700</v>
      </c>
      <c r="H41" s="248" t="s">
        <v>0</v>
      </c>
      <c r="I41" s="248" t="s">
        <v>1</v>
      </c>
      <c r="J41" s="248">
        <v>0</v>
      </c>
      <c r="K41" s="248">
        <v>0</v>
      </c>
      <c r="M41" s="6">
        <f>N41</f>
        <v>1</v>
      </c>
      <c r="N41" s="248">
        <v>1</v>
      </c>
      <c r="O41" s="248">
        <v>3</v>
      </c>
      <c r="P41" s="248">
        <v>0</v>
      </c>
      <c r="Q41" s="248">
        <v>0</v>
      </c>
      <c r="R41" s="248" t="s">
        <v>40</v>
      </c>
      <c r="S41" s="248">
        <v>0</v>
      </c>
      <c r="T41" s="248">
        <v>1</v>
      </c>
      <c r="U41" s="248" t="s">
        <v>40</v>
      </c>
      <c r="V41" s="248">
        <v>0</v>
      </c>
      <c r="W41" s="248">
        <v>1</v>
      </c>
      <c r="X41" s="248" t="s">
        <v>40</v>
      </c>
      <c r="Y41" s="248">
        <v>0</v>
      </c>
      <c r="Z41" s="248">
        <v>1</v>
      </c>
      <c r="AA41" s="248" t="s">
        <v>40</v>
      </c>
      <c r="AB41" s="248">
        <v>0</v>
      </c>
      <c r="AC41" s="248">
        <v>1</v>
      </c>
      <c r="AD41" s="248" t="s">
        <v>40</v>
      </c>
      <c r="AE41" s="248">
        <v>0</v>
      </c>
      <c r="AF41" s="248">
        <v>1</v>
      </c>
      <c r="AG41" s="248" t="s">
        <v>40</v>
      </c>
      <c r="AH41" s="248">
        <v>0</v>
      </c>
      <c r="AI41" s="248">
        <v>1</v>
      </c>
      <c r="AJ41" s="248">
        <v>0</v>
      </c>
      <c r="AK41" s="248" t="s">
        <v>40</v>
      </c>
      <c r="AL41" s="248">
        <v>0</v>
      </c>
      <c r="AM41" s="248">
        <v>1</v>
      </c>
      <c r="AN41" s="248" t="s">
        <v>98</v>
      </c>
      <c r="AO41" s="6">
        <f>N41</f>
        <v>1</v>
      </c>
      <c r="AP41" s="6">
        <f>O41</f>
        <v>3</v>
      </c>
      <c r="AQ41" s="248" t="s">
        <v>106</v>
      </c>
      <c r="AR41" s="6" t="str">
        <f>$O$6</f>
        <v>BXX</v>
      </c>
      <c r="AS41" s="248" t="s">
        <v>1</v>
      </c>
      <c r="AT41" s="6" t="str">
        <f>$A$3&amp;".AI_VI"</f>
        <v>BXX_OVF1_FI1.AI_VI</v>
      </c>
      <c r="AU41" s="248" t="s">
        <v>1</v>
      </c>
      <c r="AV41" s="6" t="str">
        <f>C41</f>
        <v>Sample Overflow Number of Visible Eng Values</v>
      </c>
      <c r="AW41" s="248">
        <v>0</v>
      </c>
      <c r="AX41" s="248">
        <v>0</v>
      </c>
      <c r="AY41" s="248">
        <v>0</v>
      </c>
      <c r="AZ41" s="248">
        <v>0</v>
      </c>
      <c r="BA41" s="248">
        <v>0</v>
      </c>
      <c r="BB41" s="248">
        <v>0</v>
      </c>
      <c r="BC41" s="248">
        <v>0</v>
      </c>
      <c r="BD41" s="248">
        <v>0</v>
      </c>
    </row>
    <row r="42" spans="1:64" x14ac:dyDescent="0.25">
      <c r="A42" s="6" t="str">
        <f>$A$3&amp;"_"&amp;"AI_DC"</f>
        <v>BXX_OVF1_FI1_AI_DC</v>
      </c>
      <c r="B42" s="6" t="str">
        <f t="shared" si="4"/>
        <v>BXX_OVF1_FI1</v>
      </c>
      <c r="C42" s="6" t="str">
        <f>$C$3 &amp; " Precision"</f>
        <v>Sample Overflow Precision</v>
      </c>
      <c r="D42" s="4">
        <f t="shared" si="5"/>
        <v>25</v>
      </c>
      <c r="E42" s="248" t="s">
        <v>1</v>
      </c>
      <c r="F42" s="248" t="s">
        <v>0</v>
      </c>
      <c r="G42" s="2">
        <v>700</v>
      </c>
      <c r="H42" s="248" t="s">
        <v>0</v>
      </c>
      <c r="I42" s="248" t="s">
        <v>1</v>
      </c>
      <c r="J42" s="248">
        <v>0</v>
      </c>
      <c r="K42" s="248">
        <v>0</v>
      </c>
      <c r="M42" s="6">
        <f t="shared" ref="M42:M44" si="6">N42</f>
        <v>0</v>
      </c>
      <c r="N42" s="248">
        <v>0</v>
      </c>
      <c r="O42" s="248">
        <v>3</v>
      </c>
      <c r="P42" s="248">
        <v>0</v>
      </c>
      <c r="Q42" s="248">
        <v>0</v>
      </c>
      <c r="R42" s="248" t="s">
        <v>40</v>
      </c>
      <c r="S42" s="248">
        <v>0</v>
      </c>
      <c r="T42" s="248">
        <v>1</v>
      </c>
      <c r="U42" s="248" t="s">
        <v>40</v>
      </c>
      <c r="V42" s="248">
        <v>0</v>
      </c>
      <c r="W42" s="248">
        <v>1</v>
      </c>
      <c r="X42" s="248" t="s">
        <v>40</v>
      </c>
      <c r="Y42" s="248">
        <v>0</v>
      </c>
      <c r="Z42" s="248">
        <v>1</v>
      </c>
      <c r="AA42" s="248" t="s">
        <v>40</v>
      </c>
      <c r="AB42" s="248">
        <v>0</v>
      </c>
      <c r="AC42" s="248">
        <v>1</v>
      </c>
      <c r="AD42" s="248" t="s">
        <v>40</v>
      </c>
      <c r="AE42" s="248">
        <v>0</v>
      </c>
      <c r="AF42" s="248">
        <v>1</v>
      </c>
      <c r="AG42" s="248" t="s">
        <v>40</v>
      </c>
      <c r="AH42" s="248">
        <v>0</v>
      </c>
      <c r="AI42" s="248">
        <v>1</v>
      </c>
      <c r="AJ42" s="248">
        <v>0</v>
      </c>
      <c r="AK42" s="248" t="s">
        <v>40</v>
      </c>
      <c r="AL42" s="248">
        <v>0</v>
      </c>
      <c r="AM42" s="248">
        <v>1</v>
      </c>
      <c r="AN42" s="248" t="s">
        <v>98</v>
      </c>
      <c r="AO42" s="6">
        <f t="shared" ref="AO42:AP44" si="7">N42</f>
        <v>0</v>
      </c>
      <c r="AP42" s="6">
        <f t="shared" si="7"/>
        <v>3</v>
      </c>
      <c r="AQ42" s="248" t="s">
        <v>106</v>
      </c>
      <c r="AR42" s="6" t="str">
        <f t="shared" ref="AR42:AR58" si="8">$O$6</f>
        <v>BXX</v>
      </c>
      <c r="AS42" s="248" t="s">
        <v>1</v>
      </c>
      <c r="AT42" s="6" t="str">
        <f>$A$3&amp;".AI_DC"</f>
        <v>BXX_OVF1_FI1.AI_DC</v>
      </c>
      <c r="AU42" s="248" t="s">
        <v>1</v>
      </c>
      <c r="AV42" s="6" t="str">
        <f t="shared" ref="AV42:AV58" si="9">C42</f>
        <v>Sample Overflow Precision</v>
      </c>
      <c r="AW42" s="248">
        <v>0</v>
      </c>
      <c r="AX42" s="248">
        <v>0</v>
      </c>
      <c r="AY42" s="248">
        <v>0</v>
      </c>
      <c r="AZ42" s="248">
        <v>0</v>
      </c>
      <c r="BA42" s="248">
        <v>0</v>
      </c>
      <c r="BB42" s="248">
        <v>0</v>
      </c>
      <c r="BC42" s="248">
        <v>0</v>
      </c>
      <c r="BD42" s="248">
        <v>0</v>
      </c>
    </row>
    <row r="43" spans="1:64" x14ac:dyDescent="0.25">
      <c r="A43" s="3" t="str">
        <f>$A$3&amp;"_"&amp;"E2_DC"</f>
        <v>BXX_OVF1_FI1_E2_DC</v>
      </c>
      <c r="B43" s="6" t="str">
        <f t="shared" si="4"/>
        <v>BXX_OVF1_FI1</v>
      </c>
      <c r="C43" s="6" t="str">
        <f>$C$3 &amp; " Eng Value 2 Precision"</f>
        <v>Sample Overflow Eng Value 2 Precision</v>
      </c>
      <c r="D43" s="4">
        <f t="shared" si="5"/>
        <v>37</v>
      </c>
      <c r="E43" s="248" t="s">
        <v>1</v>
      </c>
      <c r="F43" s="248" t="s">
        <v>0</v>
      </c>
      <c r="G43" s="2">
        <v>700</v>
      </c>
      <c r="H43" s="248" t="s">
        <v>0</v>
      </c>
      <c r="I43" s="248" t="s">
        <v>1</v>
      </c>
      <c r="J43" s="248">
        <v>0</v>
      </c>
      <c r="K43" s="248">
        <v>0</v>
      </c>
      <c r="M43" s="6">
        <f t="shared" si="6"/>
        <v>0</v>
      </c>
      <c r="N43" s="248">
        <v>0</v>
      </c>
      <c r="O43" s="248">
        <v>3</v>
      </c>
      <c r="P43" s="248">
        <v>0</v>
      </c>
      <c r="Q43" s="248">
        <v>0</v>
      </c>
      <c r="R43" s="248" t="s">
        <v>40</v>
      </c>
      <c r="S43" s="248">
        <v>0</v>
      </c>
      <c r="T43" s="248">
        <v>1</v>
      </c>
      <c r="U43" s="248" t="s">
        <v>40</v>
      </c>
      <c r="V43" s="248">
        <v>0</v>
      </c>
      <c r="W43" s="248">
        <v>1</v>
      </c>
      <c r="X43" s="248" t="s">
        <v>40</v>
      </c>
      <c r="Y43" s="248">
        <v>0</v>
      </c>
      <c r="Z43" s="248">
        <v>1</v>
      </c>
      <c r="AA43" s="248" t="s">
        <v>40</v>
      </c>
      <c r="AB43" s="248">
        <v>0</v>
      </c>
      <c r="AC43" s="248">
        <v>1</v>
      </c>
      <c r="AD43" s="248" t="s">
        <v>40</v>
      </c>
      <c r="AE43" s="248">
        <v>0</v>
      </c>
      <c r="AF43" s="248">
        <v>1</v>
      </c>
      <c r="AG43" s="248" t="s">
        <v>40</v>
      </c>
      <c r="AH43" s="248">
        <v>0</v>
      </c>
      <c r="AI43" s="248">
        <v>1</v>
      </c>
      <c r="AJ43" s="248">
        <v>0</v>
      </c>
      <c r="AK43" s="248" t="s">
        <v>40</v>
      </c>
      <c r="AL43" s="248">
        <v>0</v>
      </c>
      <c r="AM43" s="248">
        <v>1</v>
      </c>
      <c r="AN43" s="248" t="s">
        <v>98</v>
      </c>
      <c r="AO43" s="6">
        <f t="shared" si="7"/>
        <v>0</v>
      </c>
      <c r="AP43" s="6">
        <f t="shared" si="7"/>
        <v>3</v>
      </c>
      <c r="AQ43" s="248" t="s">
        <v>106</v>
      </c>
      <c r="AR43" s="6" t="str">
        <f t="shared" si="8"/>
        <v>BXX</v>
      </c>
      <c r="AS43" s="248" t="s">
        <v>1</v>
      </c>
      <c r="AT43" s="6" t="str">
        <f>$A$3&amp;".E2_DC"</f>
        <v>BXX_OVF1_FI1.E2_DC</v>
      </c>
      <c r="AU43" s="248" t="s">
        <v>1</v>
      </c>
      <c r="AV43" s="6" t="str">
        <f t="shared" si="9"/>
        <v>Sample Overflow Eng Value 2 Precision</v>
      </c>
      <c r="AW43" s="248">
        <v>0</v>
      </c>
      <c r="AX43" s="248">
        <v>0</v>
      </c>
      <c r="AY43" s="248">
        <v>0</v>
      </c>
      <c r="AZ43" s="248">
        <v>0</v>
      </c>
      <c r="BA43" s="248">
        <v>0</v>
      </c>
      <c r="BB43" s="248">
        <v>0</v>
      </c>
      <c r="BC43" s="248">
        <v>0</v>
      </c>
      <c r="BD43" s="248">
        <v>0</v>
      </c>
    </row>
    <row r="44" spans="1:64" x14ac:dyDescent="0.25">
      <c r="A44" s="3" t="str">
        <f>$A$3&amp;"_"&amp;"E3_DC"</f>
        <v>BXX_OVF1_FI1_E3_DC</v>
      </c>
      <c r="B44" s="6" t="str">
        <f t="shared" si="4"/>
        <v>BXX_OVF1_FI1</v>
      </c>
      <c r="C44" s="6" t="str">
        <f>$C$3 &amp; " Eng Value 3 Precision"</f>
        <v>Sample Overflow Eng Value 3 Precision</v>
      </c>
      <c r="D44" s="4">
        <f t="shared" si="5"/>
        <v>37</v>
      </c>
      <c r="E44" s="248" t="s">
        <v>1</v>
      </c>
      <c r="F44" s="248" t="s">
        <v>0</v>
      </c>
      <c r="G44" s="2">
        <v>700</v>
      </c>
      <c r="H44" s="248" t="s">
        <v>0</v>
      </c>
      <c r="I44" s="248" t="s">
        <v>1</v>
      </c>
      <c r="J44" s="248">
        <v>0</v>
      </c>
      <c r="K44" s="248">
        <v>0</v>
      </c>
      <c r="M44" s="6">
        <f t="shared" si="6"/>
        <v>0</v>
      </c>
      <c r="N44" s="248">
        <v>0</v>
      </c>
      <c r="O44" s="248">
        <v>3</v>
      </c>
      <c r="P44" s="248">
        <v>0</v>
      </c>
      <c r="Q44" s="248">
        <v>0</v>
      </c>
      <c r="R44" s="248" t="s">
        <v>40</v>
      </c>
      <c r="S44" s="248">
        <v>0</v>
      </c>
      <c r="T44" s="248">
        <v>1</v>
      </c>
      <c r="U44" s="248" t="s">
        <v>40</v>
      </c>
      <c r="V44" s="248">
        <v>0</v>
      </c>
      <c r="W44" s="248">
        <v>1</v>
      </c>
      <c r="X44" s="248" t="s">
        <v>40</v>
      </c>
      <c r="Y44" s="248">
        <v>0</v>
      </c>
      <c r="Z44" s="248">
        <v>1</v>
      </c>
      <c r="AA44" s="248" t="s">
        <v>40</v>
      </c>
      <c r="AB44" s="248">
        <v>0</v>
      </c>
      <c r="AC44" s="248">
        <v>1</v>
      </c>
      <c r="AD44" s="248" t="s">
        <v>40</v>
      </c>
      <c r="AE44" s="248">
        <v>0</v>
      </c>
      <c r="AF44" s="248">
        <v>1</v>
      </c>
      <c r="AG44" s="248" t="s">
        <v>40</v>
      </c>
      <c r="AH44" s="248">
        <v>0</v>
      </c>
      <c r="AI44" s="248">
        <v>1</v>
      </c>
      <c r="AJ44" s="248">
        <v>0</v>
      </c>
      <c r="AK44" s="248" t="s">
        <v>40</v>
      </c>
      <c r="AL44" s="248">
        <v>0</v>
      </c>
      <c r="AM44" s="248">
        <v>1</v>
      </c>
      <c r="AN44" s="248" t="s">
        <v>98</v>
      </c>
      <c r="AO44" s="6">
        <f t="shared" si="7"/>
        <v>0</v>
      </c>
      <c r="AP44" s="6">
        <f t="shared" si="7"/>
        <v>3</v>
      </c>
      <c r="AQ44" s="248" t="s">
        <v>106</v>
      </c>
      <c r="AR44" s="6" t="str">
        <f t="shared" si="8"/>
        <v>BXX</v>
      </c>
      <c r="AS44" s="248" t="s">
        <v>1</v>
      </c>
      <c r="AT44" s="6" t="str">
        <f>$A$3&amp;".E3_DC"</f>
        <v>BXX_OVF1_FI1.E3_DC</v>
      </c>
      <c r="AU44" s="248" t="s">
        <v>1</v>
      </c>
      <c r="AV44" s="6" t="str">
        <f t="shared" si="9"/>
        <v>Sample Overflow Eng Value 3 Precision</v>
      </c>
      <c r="AW44" s="248">
        <v>0</v>
      </c>
      <c r="AX44" s="248">
        <v>0</v>
      </c>
      <c r="AY44" s="248">
        <v>0</v>
      </c>
      <c r="AZ44" s="248">
        <v>0</v>
      </c>
      <c r="BA44" s="248">
        <v>0</v>
      </c>
      <c r="BB44" s="248">
        <v>0</v>
      </c>
      <c r="BC44" s="248">
        <v>0</v>
      </c>
      <c r="BD44" s="248">
        <v>0</v>
      </c>
    </row>
    <row r="45" spans="1:64" s="252" customFormat="1" x14ac:dyDescent="0.25">
      <c r="A45" s="6" t="str">
        <f>(LEFT($A$3,8))&amp;"_"&amp;"ST1_AI_HS"</f>
        <v>BXX_OVF1_ST1_AI_HS</v>
      </c>
      <c r="B45" s="6" t="str">
        <f t="shared" si="4"/>
        <v>BXX_OVF1_FI1</v>
      </c>
      <c r="C45" s="6" t="str">
        <f>$C$3 &amp; " Event Start Hour"</f>
        <v>Sample Overflow Event Start Hour</v>
      </c>
      <c r="D45" s="4">
        <f t="shared" si="5"/>
        <v>32</v>
      </c>
      <c r="E45" s="253" t="s">
        <v>1</v>
      </c>
      <c r="F45" s="253" t="s">
        <v>0</v>
      </c>
      <c r="G45" s="2">
        <v>900</v>
      </c>
      <c r="H45" s="253" t="s">
        <v>0</v>
      </c>
      <c r="I45" s="253" t="s">
        <v>1</v>
      </c>
      <c r="J45" s="253">
        <v>0</v>
      </c>
      <c r="K45" s="253">
        <v>0</v>
      </c>
      <c r="L45" s="253" t="s">
        <v>484</v>
      </c>
      <c r="M45" s="253">
        <v>0</v>
      </c>
      <c r="N45" s="253">
        <v>0</v>
      </c>
      <c r="O45" s="253">
        <v>23</v>
      </c>
      <c r="P45" s="253">
        <v>0</v>
      </c>
      <c r="Q45" s="253">
        <v>0</v>
      </c>
      <c r="R45" s="253" t="s">
        <v>40</v>
      </c>
      <c r="S45" s="253">
        <v>0</v>
      </c>
      <c r="T45" s="253">
        <v>1</v>
      </c>
      <c r="U45" s="253" t="s">
        <v>40</v>
      </c>
      <c r="V45" s="253">
        <v>0</v>
      </c>
      <c r="W45" s="253">
        <v>1</v>
      </c>
      <c r="X45" s="253" t="s">
        <v>40</v>
      </c>
      <c r="Y45" s="253">
        <v>0</v>
      </c>
      <c r="Z45" s="253">
        <v>1</v>
      </c>
      <c r="AA45" s="253" t="s">
        <v>40</v>
      </c>
      <c r="AB45" s="253">
        <v>0</v>
      </c>
      <c r="AC45" s="253">
        <v>1</v>
      </c>
      <c r="AD45" s="253" t="s">
        <v>40</v>
      </c>
      <c r="AE45" s="253">
        <v>0</v>
      </c>
      <c r="AF45" s="253">
        <v>1</v>
      </c>
      <c r="AG45" s="253" t="s">
        <v>40</v>
      </c>
      <c r="AH45" s="253">
        <v>0</v>
      </c>
      <c r="AI45" s="253">
        <v>1</v>
      </c>
      <c r="AJ45" s="253">
        <v>0</v>
      </c>
      <c r="AK45" s="253" t="s">
        <v>40</v>
      </c>
      <c r="AL45" s="253">
        <v>0</v>
      </c>
      <c r="AM45" s="253">
        <v>1</v>
      </c>
      <c r="AN45" s="253" t="s">
        <v>98</v>
      </c>
      <c r="AO45" s="253">
        <v>0</v>
      </c>
      <c r="AP45" s="253">
        <v>23</v>
      </c>
      <c r="AQ45" s="253" t="s">
        <v>106</v>
      </c>
      <c r="AR45" s="6" t="str">
        <f t="shared" si="8"/>
        <v>BXX</v>
      </c>
      <c r="AS45" s="253" t="s">
        <v>1</v>
      </c>
      <c r="AT45" s="6" t="str">
        <f>(LEFT($A$3,8))&amp;"_"&amp;"TL1.ST.AI_HS"</f>
        <v>BXX_OVF1_TL1.ST.AI_HS</v>
      </c>
      <c r="AU45" s="260" t="s">
        <v>1</v>
      </c>
      <c r="AV45" s="6" t="str">
        <f t="shared" si="9"/>
        <v>Sample Overflow Event Start Hour</v>
      </c>
      <c r="AW45" s="253">
        <v>0</v>
      </c>
      <c r="AX45" s="253">
        <v>0</v>
      </c>
      <c r="AY45" s="253">
        <v>0</v>
      </c>
      <c r="AZ45" s="253">
        <v>0</v>
      </c>
      <c r="BA45" s="253">
        <v>0</v>
      </c>
      <c r="BB45" s="253">
        <v>0</v>
      </c>
      <c r="BC45" s="253">
        <v>0</v>
      </c>
      <c r="BD45" s="253">
        <v>0</v>
      </c>
    </row>
    <row r="46" spans="1:64" s="252" customFormat="1" x14ac:dyDescent="0.25">
      <c r="A46" s="6" t="str">
        <f>(LEFT($A$3,8))&amp;"_"&amp;"SP1_AI_HS"</f>
        <v>BXX_OVF1_SP1_AI_HS</v>
      </c>
      <c r="B46" s="6" t="str">
        <f t="shared" si="4"/>
        <v>BXX_OVF1_FI1</v>
      </c>
      <c r="C46" s="6" t="str">
        <f>$C$3 &amp; " Event Stop Hour"</f>
        <v>Sample Overflow Event Stop Hour</v>
      </c>
      <c r="D46" s="4">
        <f t="shared" si="5"/>
        <v>31</v>
      </c>
      <c r="E46" s="254" t="s">
        <v>1</v>
      </c>
      <c r="F46" s="254" t="s">
        <v>0</v>
      </c>
      <c r="G46" s="2">
        <v>900</v>
      </c>
      <c r="H46" s="254" t="s">
        <v>0</v>
      </c>
      <c r="I46" s="254" t="s">
        <v>1</v>
      </c>
      <c r="J46" s="254">
        <v>0</v>
      </c>
      <c r="K46" s="254">
        <v>0</v>
      </c>
      <c r="L46" s="254" t="s">
        <v>484</v>
      </c>
      <c r="M46" s="254">
        <v>0</v>
      </c>
      <c r="N46" s="254">
        <v>0</v>
      </c>
      <c r="O46" s="254">
        <v>23</v>
      </c>
      <c r="P46" s="254">
        <v>0</v>
      </c>
      <c r="Q46" s="254">
        <v>0</v>
      </c>
      <c r="R46" s="254" t="s">
        <v>40</v>
      </c>
      <c r="S46" s="254">
        <v>0</v>
      </c>
      <c r="T46" s="254">
        <v>1</v>
      </c>
      <c r="U46" s="254" t="s">
        <v>40</v>
      </c>
      <c r="V46" s="254">
        <v>0</v>
      </c>
      <c r="W46" s="254">
        <v>1</v>
      </c>
      <c r="X46" s="254" t="s">
        <v>40</v>
      </c>
      <c r="Y46" s="254">
        <v>0</v>
      </c>
      <c r="Z46" s="254">
        <v>1</v>
      </c>
      <c r="AA46" s="254" t="s">
        <v>40</v>
      </c>
      <c r="AB46" s="254">
        <v>0</v>
      </c>
      <c r="AC46" s="254">
        <v>1</v>
      </c>
      <c r="AD46" s="254" t="s">
        <v>40</v>
      </c>
      <c r="AE46" s="254">
        <v>0</v>
      </c>
      <c r="AF46" s="254">
        <v>1</v>
      </c>
      <c r="AG46" s="254" t="s">
        <v>40</v>
      </c>
      <c r="AH46" s="254">
        <v>0</v>
      </c>
      <c r="AI46" s="254">
        <v>1</v>
      </c>
      <c r="AJ46" s="254">
        <v>0</v>
      </c>
      <c r="AK46" s="254" t="s">
        <v>40</v>
      </c>
      <c r="AL46" s="254">
        <v>0</v>
      </c>
      <c r="AM46" s="254">
        <v>1</v>
      </c>
      <c r="AN46" s="254" t="s">
        <v>98</v>
      </c>
      <c r="AO46" s="254">
        <v>0</v>
      </c>
      <c r="AP46" s="254">
        <v>23</v>
      </c>
      <c r="AQ46" s="254" t="s">
        <v>106</v>
      </c>
      <c r="AR46" s="6" t="str">
        <f t="shared" si="8"/>
        <v>BXX</v>
      </c>
      <c r="AS46" s="254" t="s">
        <v>1</v>
      </c>
      <c r="AT46" s="6" t="str">
        <f>(LEFT($A$3,8))&amp;"_"&amp;"TL1.SP.AI_HS"</f>
        <v>BXX_OVF1_TL1.SP.AI_HS</v>
      </c>
      <c r="AU46" s="260" t="s">
        <v>1</v>
      </c>
      <c r="AV46" s="6" t="str">
        <f t="shared" si="9"/>
        <v>Sample Overflow Event Stop Hour</v>
      </c>
      <c r="AW46" s="254">
        <v>0</v>
      </c>
      <c r="AX46" s="254">
        <v>0</v>
      </c>
      <c r="AY46" s="254">
        <v>0</v>
      </c>
      <c r="AZ46" s="254">
        <v>0</v>
      </c>
      <c r="BA46" s="254">
        <v>0</v>
      </c>
      <c r="BB46" s="254">
        <v>0</v>
      </c>
      <c r="BC46" s="254">
        <v>0</v>
      </c>
      <c r="BD46" s="254">
        <v>0</v>
      </c>
    </row>
    <row r="47" spans="1:64" s="252" customFormat="1" x14ac:dyDescent="0.25">
      <c r="A47" s="6" t="str">
        <f>(LEFT($A$3,8))&amp;"_"&amp;"SP1_AI_MM"</f>
        <v>BXX_OVF1_SP1_AI_MM</v>
      </c>
      <c r="B47" s="6" t="str">
        <f t="shared" si="4"/>
        <v>BXX_OVF1_FI1</v>
      </c>
      <c r="C47" s="6" t="str">
        <f>$C$3 &amp; " Event Stop Month"</f>
        <v>Sample Overflow Event Stop Month</v>
      </c>
      <c r="D47" s="4">
        <f t="shared" si="5"/>
        <v>32</v>
      </c>
      <c r="E47" s="254" t="s">
        <v>1</v>
      </c>
      <c r="F47" s="254" t="s">
        <v>0</v>
      </c>
      <c r="G47" s="2">
        <v>900</v>
      </c>
      <c r="H47" s="254" t="s">
        <v>0</v>
      </c>
      <c r="I47" s="254" t="s">
        <v>1</v>
      </c>
      <c r="J47" s="254">
        <v>0</v>
      </c>
      <c r="K47" s="254">
        <v>0</v>
      </c>
      <c r="L47" s="254" t="s">
        <v>399</v>
      </c>
      <c r="M47" s="254">
        <v>0</v>
      </c>
      <c r="N47" s="254">
        <v>0</v>
      </c>
      <c r="O47" s="254">
        <v>12</v>
      </c>
      <c r="P47" s="254">
        <v>0</v>
      </c>
      <c r="Q47" s="254">
        <v>0</v>
      </c>
      <c r="R47" s="254" t="s">
        <v>40</v>
      </c>
      <c r="S47" s="254">
        <v>0</v>
      </c>
      <c r="T47" s="254">
        <v>1</v>
      </c>
      <c r="U47" s="254" t="s">
        <v>40</v>
      </c>
      <c r="V47" s="254">
        <v>0</v>
      </c>
      <c r="W47" s="254">
        <v>1</v>
      </c>
      <c r="X47" s="254" t="s">
        <v>40</v>
      </c>
      <c r="Y47" s="254">
        <v>0</v>
      </c>
      <c r="Z47" s="254">
        <v>1</v>
      </c>
      <c r="AA47" s="254" t="s">
        <v>40</v>
      </c>
      <c r="AB47" s="254">
        <v>0</v>
      </c>
      <c r="AC47" s="254">
        <v>1</v>
      </c>
      <c r="AD47" s="254" t="s">
        <v>40</v>
      </c>
      <c r="AE47" s="254">
        <v>0</v>
      </c>
      <c r="AF47" s="254">
        <v>1</v>
      </c>
      <c r="AG47" s="254" t="s">
        <v>40</v>
      </c>
      <c r="AH47" s="254">
        <v>0</v>
      </c>
      <c r="AI47" s="254">
        <v>1</v>
      </c>
      <c r="AJ47" s="254">
        <v>0</v>
      </c>
      <c r="AK47" s="254" t="s">
        <v>40</v>
      </c>
      <c r="AL47" s="254">
        <v>0</v>
      </c>
      <c r="AM47" s="254">
        <v>1</v>
      </c>
      <c r="AN47" s="254" t="s">
        <v>98</v>
      </c>
      <c r="AO47" s="254">
        <v>0</v>
      </c>
      <c r="AP47" s="254">
        <v>12</v>
      </c>
      <c r="AQ47" s="254" t="s">
        <v>106</v>
      </c>
      <c r="AR47" s="6" t="str">
        <f t="shared" si="8"/>
        <v>BXX</v>
      </c>
      <c r="AS47" s="254" t="s">
        <v>1</v>
      </c>
      <c r="AT47" s="6" t="str">
        <f>(LEFT($A$3,8))&amp;"_"&amp;"TL1.SP.AI_MM"</f>
        <v>BXX_OVF1_TL1.SP.AI_MM</v>
      </c>
      <c r="AU47" s="260" t="s">
        <v>1</v>
      </c>
      <c r="AV47" s="6" t="str">
        <f t="shared" si="9"/>
        <v>Sample Overflow Event Stop Month</v>
      </c>
      <c r="AW47" s="254">
        <v>0</v>
      </c>
      <c r="AX47" s="254">
        <v>0</v>
      </c>
      <c r="AY47" s="254">
        <v>0</v>
      </c>
      <c r="AZ47" s="254">
        <v>0</v>
      </c>
      <c r="BA47" s="254">
        <v>0</v>
      </c>
      <c r="BB47" s="254">
        <v>0</v>
      </c>
      <c r="BC47" s="254">
        <v>0</v>
      </c>
      <c r="BD47" s="254">
        <v>0</v>
      </c>
    </row>
    <row r="48" spans="1:64" s="252" customFormat="1" x14ac:dyDescent="0.25">
      <c r="A48" s="6" t="str">
        <f>(LEFT($A$3,8))&amp;"_"&amp;"SP1_AI_DY"</f>
        <v>BXX_OVF1_SP1_AI_DY</v>
      </c>
      <c r="B48" s="6" t="str">
        <f t="shared" si="4"/>
        <v>BXX_OVF1_FI1</v>
      </c>
      <c r="C48" s="6" t="str">
        <f>$C$3 &amp; " Event Stop Day"</f>
        <v>Sample Overflow Event Stop Day</v>
      </c>
      <c r="D48" s="4">
        <f t="shared" si="5"/>
        <v>30</v>
      </c>
      <c r="E48" s="254" t="s">
        <v>1</v>
      </c>
      <c r="F48" s="254" t="s">
        <v>0</v>
      </c>
      <c r="G48" s="2">
        <v>900</v>
      </c>
      <c r="H48" s="254" t="s">
        <v>0</v>
      </c>
      <c r="I48" s="254" t="s">
        <v>1</v>
      </c>
      <c r="J48" s="254">
        <v>0</v>
      </c>
      <c r="K48" s="254">
        <v>0</v>
      </c>
      <c r="L48" s="254" t="s">
        <v>400</v>
      </c>
      <c r="M48" s="254">
        <v>0</v>
      </c>
      <c r="N48" s="254">
        <v>0</v>
      </c>
      <c r="O48" s="254">
        <v>31</v>
      </c>
      <c r="P48" s="254">
        <v>0</v>
      </c>
      <c r="Q48" s="254">
        <v>0</v>
      </c>
      <c r="R48" s="254" t="s">
        <v>40</v>
      </c>
      <c r="S48" s="254">
        <v>0</v>
      </c>
      <c r="T48" s="254">
        <v>1</v>
      </c>
      <c r="U48" s="254" t="s">
        <v>40</v>
      </c>
      <c r="V48" s="254">
        <v>0</v>
      </c>
      <c r="W48" s="254">
        <v>1</v>
      </c>
      <c r="X48" s="254" t="s">
        <v>40</v>
      </c>
      <c r="Y48" s="254">
        <v>0</v>
      </c>
      <c r="Z48" s="254">
        <v>1</v>
      </c>
      <c r="AA48" s="254" t="s">
        <v>40</v>
      </c>
      <c r="AB48" s="254">
        <v>0</v>
      </c>
      <c r="AC48" s="254">
        <v>1</v>
      </c>
      <c r="AD48" s="254" t="s">
        <v>40</v>
      </c>
      <c r="AE48" s="254">
        <v>0</v>
      </c>
      <c r="AF48" s="254">
        <v>1</v>
      </c>
      <c r="AG48" s="254" t="s">
        <v>40</v>
      </c>
      <c r="AH48" s="254">
        <v>0</v>
      </c>
      <c r="AI48" s="254">
        <v>1</v>
      </c>
      <c r="AJ48" s="254">
        <v>0</v>
      </c>
      <c r="AK48" s="254" t="s">
        <v>40</v>
      </c>
      <c r="AL48" s="254">
        <v>0</v>
      </c>
      <c r="AM48" s="254">
        <v>1</v>
      </c>
      <c r="AN48" s="254" t="s">
        <v>98</v>
      </c>
      <c r="AO48" s="254">
        <v>0</v>
      </c>
      <c r="AP48" s="254">
        <v>31</v>
      </c>
      <c r="AQ48" s="254" t="s">
        <v>106</v>
      </c>
      <c r="AR48" s="6" t="str">
        <f t="shared" si="8"/>
        <v>BXX</v>
      </c>
      <c r="AS48" s="254" t="s">
        <v>1</v>
      </c>
      <c r="AT48" s="6" t="str">
        <f>(LEFT($A$3,8))&amp;"_"&amp;"TL1.SP.AI_DY"</f>
        <v>BXX_OVF1_TL1.SP.AI_DY</v>
      </c>
      <c r="AU48" s="260" t="s">
        <v>1</v>
      </c>
      <c r="AV48" s="6" t="str">
        <f t="shared" si="9"/>
        <v>Sample Overflow Event Stop Day</v>
      </c>
      <c r="AW48" s="254">
        <v>0</v>
      </c>
      <c r="AX48" s="254">
        <v>0</v>
      </c>
      <c r="AY48" s="254">
        <v>0</v>
      </c>
      <c r="AZ48" s="254">
        <v>0</v>
      </c>
      <c r="BA48" s="254">
        <v>0</v>
      </c>
      <c r="BB48" s="254">
        <v>0</v>
      </c>
      <c r="BC48" s="254">
        <v>0</v>
      </c>
      <c r="BD48" s="254">
        <v>0</v>
      </c>
    </row>
    <row r="49" spans="1:64" s="252" customFormat="1" x14ac:dyDescent="0.25">
      <c r="A49" s="6" t="str">
        <f>(LEFT($A$3,8))&amp;"_"&amp;"SP1_AI_MS"</f>
        <v>BXX_OVF1_SP1_AI_MS</v>
      </c>
      <c r="B49" s="6" t="str">
        <f t="shared" si="4"/>
        <v>BXX_OVF1_FI1</v>
      </c>
      <c r="C49" s="6" t="str">
        <f>$C$3 &amp; " Event Stop Minute"</f>
        <v>Sample Overflow Event Stop Minute</v>
      </c>
      <c r="D49" s="4">
        <f t="shared" si="5"/>
        <v>33</v>
      </c>
      <c r="E49" s="254" t="s">
        <v>1</v>
      </c>
      <c r="F49" s="254" t="s">
        <v>0</v>
      </c>
      <c r="G49" s="2">
        <v>900</v>
      </c>
      <c r="H49" s="254" t="s">
        <v>0</v>
      </c>
      <c r="I49" s="254" t="s">
        <v>1</v>
      </c>
      <c r="J49" s="254">
        <v>0</v>
      </c>
      <c r="K49" s="254">
        <v>0</v>
      </c>
      <c r="L49" s="254" t="s">
        <v>485</v>
      </c>
      <c r="M49" s="254">
        <v>0</v>
      </c>
      <c r="N49" s="254">
        <v>0</v>
      </c>
      <c r="O49" s="254">
        <v>59</v>
      </c>
      <c r="P49" s="254">
        <v>0</v>
      </c>
      <c r="Q49" s="254">
        <v>0</v>
      </c>
      <c r="R49" s="254" t="s">
        <v>40</v>
      </c>
      <c r="S49" s="254">
        <v>0</v>
      </c>
      <c r="T49" s="254">
        <v>1</v>
      </c>
      <c r="U49" s="254" t="s">
        <v>40</v>
      </c>
      <c r="V49" s="254">
        <v>0</v>
      </c>
      <c r="W49" s="254">
        <v>1</v>
      </c>
      <c r="X49" s="254" t="s">
        <v>40</v>
      </c>
      <c r="Y49" s="254">
        <v>0</v>
      </c>
      <c r="Z49" s="254">
        <v>1</v>
      </c>
      <c r="AA49" s="254" t="s">
        <v>40</v>
      </c>
      <c r="AB49" s="254">
        <v>0</v>
      </c>
      <c r="AC49" s="254">
        <v>1</v>
      </c>
      <c r="AD49" s="254" t="s">
        <v>40</v>
      </c>
      <c r="AE49" s="254">
        <v>0</v>
      </c>
      <c r="AF49" s="254">
        <v>1</v>
      </c>
      <c r="AG49" s="254" t="s">
        <v>40</v>
      </c>
      <c r="AH49" s="254">
        <v>0</v>
      </c>
      <c r="AI49" s="254">
        <v>1</v>
      </c>
      <c r="AJ49" s="254">
        <v>0</v>
      </c>
      <c r="AK49" s="254" t="s">
        <v>40</v>
      </c>
      <c r="AL49" s="254">
        <v>0</v>
      </c>
      <c r="AM49" s="254">
        <v>1</v>
      </c>
      <c r="AN49" s="254" t="s">
        <v>98</v>
      </c>
      <c r="AO49" s="254">
        <v>0</v>
      </c>
      <c r="AP49" s="254">
        <v>59</v>
      </c>
      <c r="AQ49" s="254" t="s">
        <v>106</v>
      </c>
      <c r="AR49" s="6" t="str">
        <f t="shared" si="8"/>
        <v>BXX</v>
      </c>
      <c r="AS49" s="254" t="s">
        <v>1</v>
      </c>
      <c r="AT49" s="6" t="str">
        <f>(LEFT($A$3,8))&amp;"_"&amp;"TL1.SP.AI_MS"</f>
        <v>BXX_OVF1_TL1.SP.AI_MS</v>
      </c>
      <c r="AU49" s="260" t="s">
        <v>1</v>
      </c>
      <c r="AV49" s="6" t="str">
        <f t="shared" si="9"/>
        <v>Sample Overflow Event Stop Minute</v>
      </c>
      <c r="AW49" s="254">
        <v>0</v>
      </c>
      <c r="AX49" s="254">
        <v>0</v>
      </c>
      <c r="AY49" s="254">
        <v>0</v>
      </c>
      <c r="AZ49" s="254">
        <v>0</v>
      </c>
      <c r="BA49" s="254">
        <v>0</v>
      </c>
      <c r="BB49" s="254">
        <v>0</v>
      </c>
      <c r="BC49" s="254">
        <v>0</v>
      </c>
      <c r="BD49" s="254">
        <v>0</v>
      </c>
    </row>
    <row r="50" spans="1:64" s="252" customFormat="1" x14ac:dyDescent="0.25">
      <c r="A50" s="6" t="str">
        <f>(LEFT($A$3,8))&amp;"_"&amp;"SP1_AI_YY"</f>
        <v>BXX_OVF1_SP1_AI_YY</v>
      </c>
      <c r="B50" s="6" t="str">
        <f t="shared" si="4"/>
        <v>BXX_OVF1_FI1</v>
      </c>
      <c r="C50" s="6" t="str">
        <f>$C$3 &amp; " Event Stop Year"</f>
        <v>Sample Overflow Event Stop Year</v>
      </c>
      <c r="D50" s="4">
        <f t="shared" si="5"/>
        <v>31</v>
      </c>
      <c r="E50" s="255" t="s">
        <v>1</v>
      </c>
      <c r="F50" s="255" t="s">
        <v>0</v>
      </c>
      <c r="G50" s="2">
        <v>900</v>
      </c>
      <c r="H50" s="255" t="s">
        <v>0</v>
      </c>
      <c r="I50" s="255" t="s">
        <v>1</v>
      </c>
      <c r="J50" s="255">
        <v>0</v>
      </c>
      <c r="K50" s="255">
        <v>0</v>
      </c>
      <c r="L50" s="255" t="s">
        <v>402</v>
      </c>
      <c r="M50" s="255">
        <v>0</v>
      </c>
      <c r="N50" s="255">
        <v>0</v>
      </c>
      <c r="O50" s="255">
        <v>9999</v>
      </c>
      <c r="P50" s="255">
        <v>0</v>
      </c>
      <c r="Q50" s="255">
        <v>0</v>
      </c>
      <c r="R50" s="255" t="s">
        <v>40</v>
      </c>
      <c r="S50" s="255">
        <v>0</v>
      </c>
      <c r="T50" s="255">
        <v>1</v>
      </c>
      <c r="U50" s="255" t="s">
        <v>40</v>
      </c>
      <c r="V50" s="255">
        <v>0</v>
      </c>
      <c r="W50" s="255">
        <v>1</v>
      </c>
      <c r="X50" s="255" t="s">
        <v>40</v>
      </c>
      <c r="Y50" s="255">
        <v>0</v>
      </c>
      <c r="Z50" s="255">
        <v>1</v>
      </c>
      <c r="AA50" s="255" t="s">
        <v>40</v>
      </c>
      <c r="AB50" s="255">
        <v>0</v>
      </c>
      <c r="AC50" s="255">
        <v>1</v>
      </c>
      <c r="AD50" s="255" t="s">
        <v>40</v>
      </c>
      <c r="AE50" s="255">
        <v>0</v>
      </c>
      <c r="AF50" s="255">
        <v>1</v>
      </c>
      <c r="AG50" s="255" t="s">
        <v>40</v>
      </c>
      <c r="AH50" s="255">
        <v>0</v>
      </c>
      <c r="AI50" s="255">
        <v>1</v>
      </c>
      <c r="AJ50" s="255">
        <v>0</v>
      </c>
      <c r="AK50" s="255" t="s">
        <v>40</v>
      </c>
      <c r="AL50" s="255">
        <v>0</v>
      </c>
      <c r="AM50" s="255">
        <v>1</v>
      </c>
      <c r="AN50" s="255" t="s">
        <v>98</v>
      </c>
      <c r="AO50" s="255">
        <v>0</v>
      </c>
      <c r="AP50" s="255">
        <v>9999</v>
      </c>
      <c r="AQ50" s="255" t="s">
        <v>106</v>
      </c>
      <c r="AR50" s="6" t="str">
        <f t="shared" si="8"/>
        <v>BXX</v>
      </c>
      <c r="AS50" s="255" t="s">
        <v>1</v>
      </c>
      <c r="AT50" s="6" t="str">
        <f>(LEFT($A$3,8))&amp;"_"&amp;"TL1.SP.AI_YY"</f>
        <v>BXX_OVF1_TL1.SP.AI_YY</v>
      </c>
      <c r="AU50" s="260" t="s">
        <v>1</v>
      </c>
      <c r="AV50" s="6" t="str">
        <f t="shared" si="9"/>
        <v>Sample Overflow Event Stop Year</v>
      </c>
      <c r="AW50" s="255">
        <v>0</v>
      </c>
      <c r="AX50" s="255">
        <v>0</v>
      </c>
      <c r="AY50" s="255">
        <v>0</v>
      </c>
      <c r="AZ50" s="255">
        <v>0</v>
      </c>
      <c r="BA50" s="255">
        <v>0</v>
      </c>
      <c r="BB50" s="255">
        <v>0</v>
      </c>
      <c r="BC50" s="255">
        <v>0</v>
      </c>
      <c r="BD50" s="255">
        <v>0</v>
      </c>
    </row>
    <row r="51" spans="1:64" s="252" customFormat="1" x14ac:dyDescent="0.25">
      <c r="A51" s="6" t="str">
        <f>(LEFT($A$3,8))&amp;"_"&amp;"ST1_AI_YY"</f>
        <v>BXX_OVF1_ST1_AI_YY</v>
      </c>
      <c r="B51" s="6" t="str">
        <f t="shared" si="4"/>
        <v>BXX_OVF1_FI1</v>
      </c>
      <c r="C51" s="6" t="str">
        <f>$C$3 &amp; " Event Start Year"</f>
        <v>Sample Overflow Event Start Year</v>
      </c>
      <c r="D51" s="4">
        <f t="shared" si="5"/>
        <v>32</v>
      </c>
      <c r="E51" s="256" t="s">
        <v>1</v>
      </c>
      <c r="F51" s="256" t="s">
        <v>0</v>
      </c>
      <c r="G51" s="2">
        <v>900</v>
      </c>
      <c r="H51" s="256" t="s">
        <v>0</v>
      </c>
      <c r="I51" s="256" t="s">
        <v>1</v>
      </c>
      <c r="J51" s="256">
        <v>0</v>
      </c>
      <c r="K51" s="256">
        <v>0</v>
      </c>
      <c r="L51" s="256" t="s">
        <v>402</v>
      </c>
      <c r="M51" s="256">
        <v>0</v>
      </c>
      <c r="N51" s="256">
        <v>0</v>
      </c>
      <c r="O51" s="256">
        <v>9999</v>
      </c>
      <c r="P51" s="256">
        <v>0</v>
      </c>
      <c r="Q51" s="256">
        <v>0</v>
      </c>
      <c r="R51" s="256" t="s">
        <v>40</v>
      </c>
      <c r="S51" s="256">
        <v>0</v>
      </c>
      <c r="T51" s="256">
        <v>1</v>
      </c>
      <c r="U51" s="256" t="s">
        <v>40</v>
      </c>
      <c r="V51" s="256">
        <v>0</v>
      </c>
      <c r="W51" s="256">
        <v>1</v>
      </c>
      <c r="X51" s="256" t="s">
        <v>40</v>
      </c>
      <c r="Y51" s="256">
        <v>0</v>
      </c>
      <c r="Z51" s="256">
        <v>1</v>
      </c>
      <c r="AA51" s="256" t="s">
        <v>40</v>
      </c>
      <c r="AB51" s="256">
        <v>0</v>
      </c>
      <c r="AC51" s="256">
        <v>1</v>
      </c>
      <c r="AD51" s="256" t="s">
        <v>40</v>
      </c>
      <c r="AE51" s="256">
        <v>0</v>
      </c>
      <c r="AF51" s="256">
        <v>1</v>
      </c>
      <c r="AG51" s="256" t="s">
        <v>40</v>
      </c>
      <c r="AH51" s="256">
        <v>0</v>
      </c>
      <c r="AI51" s="256">
        <v>1</v>
      </c>
      <c r="AJ51" s="256">
        <v>0</v>
      </c>
      <c r="AK51" s="256" t="s">
        <v>40</v>
      </c>
      <c r="AL51" s="256">
        <v>0</v>
      </c>
      <c r="AM51" s="256">
        <v>1</v>
      </c>
      <c r="AN51" s="256" t="s">
        <v>98</v>
      </c>
      <c r="AO51" s="256">
        <v>0</v>
      </c>
      <c r="AP51" s="256">
        <v>9999</v>
      </c>
      <c r="AQ51" s="256" t="s">
        <v>106</v>
      </c>
      <c r="AR51" s="6" t="str">
        <f t="shared" si="8"/>
        <v>BXX</v>
      </c>
      <c r="AS51" s="256" t="s">
        <v>1</v>
      </c>
      <c r="AT51" s="6" t="str">
        <f>(LEFT($A$3,8))&amp;"_"&amp;"TL1.ST.AI_YY"</f>
        <v>BXX_OVF1_TL1.ST.AI_YY</v>
      </c>
      <c r="AU51" s="260" t="s">
        <v>1</v>
      </c>
      <c r="AV51" s="6" t="str">
        <f t="shared" si="9"/>
        <v>Sample Overflow Event Start Year</v>
      </c>
      <c r="AW51" s="256">
        <v>0</v>
      </c>
      <c r="AX51" s="256">
        <v>0</v>
      </c>
      <c r="AY51" s="256">
        <v>0</v>
      </c>
      <c r="AZ51" s="256">
        <v>0</v>
      </c>
      <c r="BA51" s="256">
        <v>0</v>
      </c>
      <c r="BB51" s="256">
        <v>0</v>
      </c>
      <c r="BC51" s="256">
        <v>0</v>
      </c>
      <c r="BD51" s="256">
        <v>0</v>
      </c>
    </row>
    <row r="52" spans="1:64" s="252" customFormat="1" x14ac:dyDescent="0.25">
      <c r="A52" s="6" t="str">
        <f>(LEFT($A$3,8))&amp;"_"&amp;"ST1_AI_SN"</f>
        <v>BXX_OVF1_ST1_AI_SN</v>
      </c>
      <c r="B52" s="6" t="str">
        <f t="shared" si="4"/>
        <v>BXX_OVF1_FI1</v>
      </c>
      <c r="C52" s="6" t="str">
        <f>$C$3 &amp; " Event Start Second"</f>
        <v>Sample Overflow Event Start Second</v>
      </c>
      <c r="D52" s="4">
        <f t="shared" si="5"/>
        <v>34</v>
      </c>
      <c r="E52" s="256" t="s">
        <v>1</v>
      </c>
      <c r="F52" s="256" t="s">
        <v>0</v>
      </c>
      <c r="G52" s="2">
        <v>900</v>
      </c>
      <c r="H52" s="256" t="s">
        <v>0</v>
      </c>
      <c r="I52" s="256" t="s">
        <v>1</v>
      </c>
      <c r="J52" s="256">
        <v>0</v>
      </c>
      <c r="K52" s="256">
        <v>0</v>
      </c>
      <c r="L52" s="256" t="s">
        <v>486</v>
      </c>
      <c r="M52" s="256">
        <v>0</v>
      </c>
      <c r="N52" s="256">
        <v>0</v>
      </c>
      <c r="O52" s="256">
        <v>59</v>
      </c>
      <c r="P52" s="256">
        <v>0</v>
      </c>
      <c r="Q52" s="256">
        <v>0</v>
      </c>
      <c r="R52" s="256" t="s">
        <v>40</v>
      </c>
      <c r="S52" s="256">
        <v>0</v>
      </c>
      <c r="T52" s="256">
        <v>1</v>
      </c>
      <c r="U52" s="256" t="s">
        <v>40</v>
      </c>
      <c r="V52" s="256">
        <v>0</v>
      </c>
      <c r="W52" s="256">
        <v>1</v>
      </c>
      <c r="X52" s="256" t="s">
        <v>40</v>
      </c>
      <c r="Y52" s="256">
        <v>0</v>
      </c>
      <c r="Z52" s="256">
        <v>1</v>
      </c>
      <c r="AA52" s="256" t="s">
        <v>40</v>
      </c>
      <c r="AB52" s="256">
        <v>0</v>
      </c>
      <c r="AC52" s="256">
        <v>1</v>
      </c>
      <c r="AD52" s="256" t="s">
        <v>40</v>
      </c>
      <c r="AE52" s="256">
        <v>0</v>
      </c>
      <c r="AF52" s="256">
        <v>1</v>
      </c>
      <c r="AG52" s="256" t="s">
        <v>40</v>
      </c>
      <c r="AH52" s="256">
        <v>0</v>
      </c>
      <c r="AI52" s="256">
        <v>1</v>
      </c>
      <c r="AJ52" s="256">
        <v>0</v>
      </c>
      <c r="AK52" s="256" t="s">
        <v>40</v>
      </c>
      <c r="AL52" s="256">
        <v>0</v>
      </c>
      <c r="AM52" s="256">
        <v>1</v>
      </c>
      <c r="AN52" s="256" t="s">
        <v>98</v>
      </c>
      <c r="AO52" s="256">
        <v>0</v>
      </c>
      <c r="AP52" s="256">
        <v>59</v>
      </c>
      <c r="AQ52" s="256" t="s">
        <v>106</v>
      </c>
      <c r="AR52" s="6" t="str">
        <f t="shared" si="8"/>
        <v>BXX</v>
      </c>
      <c r="AS52" s="256" t="s">
        <v>1</v>
      </c>
      <c r="AT52" s="6" t="str">
        <f>(LEFT($A$3,8))&amp;"_"&amp;"TL1.ST.AI_SN"</f>
        <v>BXX_OVF1_TL1.ST.AI_SN</v>
      </c>
      <c r="AU52" s="260" t="s">
        <v>1</v>
      </c>
      <c r="AV52" s="6" t="str">
        <f t="shared" si="9"/>
        <v>Sample Overflow Event Start Second</v>
      </c>
      <c r="AW52" s="256">
        <v>0</v>
      </c>
      <c r="AX52" s="256">
        <v>0</v>
      </c>
      <c r="AY52" s="256">
        <v>0</v>
      </c>
      <c r="AZ52" s="256">
        <v>0</v>
      </c>
      <c r="BA52" s="256">
        <v>0</v>
      </c>
      <c r="BB52" s="256">
        <v>0</v>
      </c>
      <c r="BC52" s="256">
        <v>0</v>
      </c>
      <c r="BD52" s="256">
        <v>0</v>
      </c>
    </row>
    <row r="53" spans="1:64" s="252" customFormat="1" x14ac:dyDescent="0.25">
      <c r="A53" s="6" t="str">
        <f>(LEFT($A$3,8))&amp;"_"&amp;"ST1_AI_MS"</f>
        <v>BXX_OVF1_ST1_AI_MS</v>
      </c>
      <c r="B53" s="6" t="str">
        <f t="shared" si="4"/>
        <v>BXX_OVF1_FI1</v>
      </c>
      <c r="C53" s="6" t="str">
        <f>$C$3 &amp; " Event Start Minute"</f>
        <v>Sample Overflow Event Start Minute</v>
      </c>
      <c r="D53" s="4">
        <f t="shared" si="5"/>
        <v>34</v>
      </c>
      <c r="E53" s="256" t="s">
        <v>1</v>
      </c>
      <c r="F53" s="256" t="s">
        <v>0</v>
      </c>
      <c r="G53" s="2">
        <v>900</v>
      </c>
      <c r="H53" s="256" t="s">
        <v>0</v>
      </c>
      <c r="I53" s="256" t="s">
        <v>1</v>
      </c>
      <c r="J53" s="256">
        <v>0</v>
      </c>
      <c r="K53" s="256">
        <v>0</v>
      </c>
      <c r="L53" s="256" t="s">
        <v>485</v>
      </c>
      <c r="M53" s="256">
        <v>0</v>
      </c>
      <c r="N53" s="256">
        <v>0</v>
      </c>
      <c r="O53" s="256">
        <v>59</v>
      </c>
      <c r="P53" s="256">
        <v>0</v>
      </c>
      <c r="Q53" s="256">
        <v>0</v>
      </c>
      <c r="R53" s="256" t="s">
        <v>40</v>
      </c>
      <c r="S53" s="256">
        <v>0</v>
      </c>
      <c r="T53" s="256">
        <v>1</v>
      </c>
      <c r="U53" s="256" t="s">
        <v>40</v>
      </c>
      <c r="V53" s="256">
        <v>0</v>
      </c>
      <c r="W53" s="256">
        <v>1</v>
      </c>
      <c r="X53" s="256" t="s">
        <v>40</v>
      </c>
      <c r="Y53" s="256">
        <v>0</v>
      </c>
      <c r="Z53" s="256">
        <v>1</v>
      </c>
      <c r="AA53" s="256" t="s">
        <v>40</v>
      </c>
      <c r="AB53" s="256">
        <v>0</v>
      </c>
      <c r="AC53" s="256">
        <v>1</v>
      </c>
      <c r="AD53" s="256" t="s">
        <v>40</v>
      </c>
      <c r="AE53" s="256">
        <v>0</v>
      </c>
      <c r="AF53" s="256">
        <v>1</v>
      </c>
      <c r="AG53" s="256" t="s">
        <v>40</v>
      </c>
      <c r="AH53" s="256">
        <v>0</v>
      </c>
      <c r="AI53" s="256">
        <v>1</v>
      </c>
      <c r="AJ53" s="256">
        <v>0</v>
      </c>
      <c r="AK53" s="256" t="s">
        <v>40</v>
      </c>
      <c r="AL53" s="256">
        <v>0</v>
      </c>
      <c r="AM53" s="256">
        <v>1</v>
      </c>
      <c r="AN53" s="256" t="s">
        <v>98</v>
      </c>
      <c r="AO53" s="256">
        <v>0</v>
      </c>
      <c r="AP53" s="256">
        <v>59</v>
      </c>
      <c r="AQ53" s="256" t="s">
        <v>106</v>
      </c>
      <c r="AR53" s="6" t="str">
        <f t="shared" si="8"/>
        <v>BXX</v>
      </c>
      <c r="AS53" s="256" t="s">
        <v>1</v>
      </c>
      <c r="AT53" s="6" t="str">
        <f>(LEFT($A$3,8))&amp;"_"&amp;"TL1.ST.AI_MS"</f>
        <v>BXX_OVF1_TL1.ST.AI_MS</v>
      </c>
      <c r="AU53" s="260" t="s">
        <v>1</v>
      </c>
      <c r="AV53" s="6" t="str">
        <f t="shared" si="9"/>
        <v>Sample Overflow Event Start Minute</v>
      </c>
      <c r="AW53" s="256">
        <v>0</v>
      </c>
      <c r="AX53" s="256">
        <v>0</v>
      </c>
      <c r="AY53" s="256">
        <v>0</v>
      </c>
      <c r="AZ53" s="256">
        <v>0</v>
      </c>
      <c r="BA53" s="256">
        <v>0</v>
      </c>
      <c r="BB53" s="256">
        <v>0</v>
      </c>
      <c r="BC53" s="256">
        <v>0</v>
      </c>
      <c r="BD53" s="256">
        <v>0</v>
      </c>
    </row>
    <row r="54" spans="1:64" s="252" customFormat="1" x14ac:dyDescent="0.25">
      <c r="A54" s="6" t="str">
        <f>(LEFT($A$3,8))&amp;"_"&amp;"ST1_AI_MM"</f>
        <v>BXX_OVF1_ST1_AI_MM</v>
      </c>
      <c r="B54" s="6" t="str">
        <f t="shared" si="4"/>
        <v>BXX_OVF1_FI1</v>
      </c>
      <c r="C54" s="6" t="str">
        <f>$C$3 &amp; " Event Start Month"</f>
        <v>Sample Overflow Event Start Month</v>
      </c>
      <c r="D54" s="4">
        <f t="shared" si="5"/>
        <v>33</v>
      </c>
      <c r="E54" s="256" t="s">
        <v>1</v>
      </c>
      <c r="F54" s="256" t="s">
        <v>0</v>
      </c>
      <c r="G54" s="2">
        <v>900</v>
      </c>
      <c r="H54" s="256" t="s">
        <v>0</v>
      </c>
      <c r="I54" s="256" t="s">
        <v>1</v>
      </c>
      <c r="J54" s="256">
        <v>0</v>
      </c>
      <c r="K54" s="256">
        <v>0</v>
      </c>
      <c r="L54" s="256" t="s">
        <v>399</v>
      </c>
      <c r="M54" s="256">
        <v>0</v>
      </c>
      <c r="N54" s="256">
        <v>0</v>
      </c>
      <c r="O54" s="256">
        <v>12</v>
      </c>
      <c r="P54" s="256">
        <v>0</v>
      </c>
      <c r="Q54" s="256">
        <v>0</v>
      </c>
      <c r="R54" s="256" t="s">
        <v>40</v>
      </c>
      <c r="S54" s="256">
        <v>0</v>
      </c>
      <c r="T54" s="256">
        <v>1</v>
      </c>
      <c r="U54" s="256" t="s">
        <v>40</v>
      </c>
      <c r="V54" s="256">
        <v>0</v>
      </c>
      <c r="W54" s="256">
        <v>1</v>
      </c>
      <c r="X54" s="256" t="s">
        <v>40</v>
      </c>
      <c r="Y54" s="256">
        <v>0</v>
      </c>
      <c r="Z54" s="256">
        <v>1</v>
      </c>
      <c r="AA54" s="256" t="s">
        <v>40</v>
      </c>
      <c r="AB54" s="256">
        <v>0</v>
      </c>
      <c r="AC54" s="256">
        <v>1</v>
      </c>
      <c r="AD54" s="256" t="s">
        <v>40</v>
      </c>
      <c r="AE54" s="256">
        <v>0</v>
      </c>
      <c r="AF54" s="256">
        <v>1</v>
      </c>
      <c r="AG54" s="256" t="s">
        <v>40</v>
      </c>
      <c r="AH54" s="256">
        <v>0</v>
      </c>
      <c r="AI54" s="256">
        <v>1</v>
      </c>
      <c r="AJ54" s="256">
        <v>0</v>
      </c>
      <c r="AK54" s="256" t="s">
        <v>40</v>
      </c>
      <c r="AL54" s="256">
        <v>0</v>
      </c>
      <c r="AM54" s="256">
        <v>1</v>
      </c>
      <c r="AN54" s="256" t="s">
        <v>98</v>
      </c>
      <c r="AO54" s="256">
        <v>0</v>
      </c>
      <c r="AP54" s="256">
        <v>12</v>
      </c>
      <c r="AQ54" s="256" t="s">
        <v>106</v>
      </c>
      <c r="AR54" s="6" t="str">
        <f t="shared" si="8"/>
        <v>BXX</v>
      </c>
      <c r="AS54" s="256" t="s">
        <v>1</v>
      </c>
      <c r="AT54" s="6" t="str">
        <f>(LEFT($A$3,8))&amp;"_"&amp;"TL1.ST.AI_MM"</f>
        <v>BXX_OVF1_TL1.ST.AI_MM</v>
      </c>
      <c r="AU54" s="260" t="s">
        <v>1</v>
      </c>
      <c r="AV54" s="6" t="str">
        <f t="shared" si="9"/>
        <v>Sample Overflow Event Start Month</v>
      </c>
      <c r="AW54" s="256">
        <v>0</v>
      </c>
      <c r="AX54" s="256">
        <v>0</v>
      </c>
      <c r="AY54" s="256">
        <v>0</v>
      </c>
      <c r="AZ54" s="256">
        <v>0</v>
      </c>
      <c r="BA54" s="256">
        <v>0</v>
      </c>
      <c r="BB54" s="256">
        <v>0</v>
      </c>
      <c r="BC54" s="256">
        <v>0</v>
      </c>
      <c r="BD54" s="256">
        <v>0</v>
      </c>
    </row>
    <row r="55" spans="1:64" s="256" customFormat="1" x14ac:dyDescent="0.25">
      <c r="A55" s="6" t="str">
        <f>(LEFT($A$3,8))&amp;"_"&amp;"SP1_AI_SN"</f>
        <v>BXX_OVF1_SP1_AI_SN</v>
      </c>
      <c r="B55" s="6" t="str">
        <f t="shared" si="4"/>
        <v>BXX_OVF1_FI1</v>
      </c>
      <c r="C55" s="6" t="str">
        <f>$C$3 &amp; " Event Stop Second"</f>
        <v>Sample Overflow Event Stop Second</v>
      </c>
      <c r="D55" s="4">
        <f t="shared" si="5"/>
        <v>33</v>
      </c>
      <c r="E55" s="257" t="s">
        <v>1</v>
      </c>
      <c r="F55" s="257" t="s">
        <v>0</v>
      </c>
      <c r="G55" s="2">
        <v>900</v>
      </c>
      <c r="H55" s="257" t="s">
        <v>0</v>
      </c>
      <c r="I55" s="257" t="s">
        <v>1</v>
      </c>
      <c r="J55" s="257">
        <v>0</v>
      </c>
      <c r="K55" s="257">
        <v>0</v>
      </c>
      <c r="L55" s="257" t="s">
        <v>486</v>
      </c>
      <c r="M55" s="257">
        <v>0</v>
      </c>
      <c r="N55" s="257">
        <v>0</v>
      </c>
      <c r="O55" s="257">
        <v>59</v>
      </c>
      <c r="P55" s="257">
        <v>0</v>
      </c>
      <c r="Q55" s="257">
        <v>0</v>
      </c>
      <c r="R55" s="257" t="s">
        <v>40</v>
      </c>
      <c r="S55" s="257">
        <v>0</v>
      </c>
      <c r="T55" s="257">
        <v>1</v>
      </c>
      <c r="U55" s="257" t="s">
        <v>40</v>
      </c>
      <c r="V55" s="257">
        <v>0</v>
      </c>
      <c r="W55" s="257">
        <v>1</v>
      </c>
      <c r="X55" s="257" t="s">
        <v>40</v>
      </c>
      <c r="Y55" s="257">
        <v>0</v>
      </c>
      <c r="Z55" s="257">
        <v>1</v>
      </c>
      <c r="AA55" s="257" t="s">
        <v>40</v>
      </c>
      <c r="AB55" s="257">
        <v>0</v>
      </c>
      <c r="AC55" s="257">
        <v>1</v>
      </c>
      <c r="AD55" s="257" t="s">
        <v>40</v>
      </c>
      <c r="AE55" s="257">
        <v>0</v>
      </c>
      <c r="AF55" s="257">
        <v>1</v>
      </c>
      <c r="AG55" s="257" t="s">
        <v>40</v>
      </c>
      <c r="AH55" s="257">
        <v>0</v>
      </c>
      <c r="AI55" s="257">
        <v>1</v>
      </c>
      <c r="AJ55" s="257">
        <v>0</v>
      </c>
      <c r="AK55" s="257" t="s">
        <v>40</v>
      </c>
      <c r="AL55" s="257">
        <v>0</v>
      </c>
      <c r="AM55" s="257">
        <v>1</v>
      </c>
      <c r="AN55" s="257" t="s">
        <v>98</v>
      </c>
      <c r="AO55" s="257">
        <v>0</v>
      </c>
      <c r="AP55" s="257">
        <v>59</v>
      </c>
      <c r="AQ55" s="257" t="s">
        <v>106</v>
      </c>
      <c r="AR55" s="6" t="str">
        <f t="shared" si="8"/>
        <v>BXX</v>
      </c>
      <c r="AS55" s="257" t="s">
        <v>1</v>
      </c>
      <c r="AT55" s="6" t="str">
        <f>(LEFT($A$3,8))&amp;"_"&amp;"TL1.SP.AI_SN"</f>
        <v>BXX_OVF1_TL1.SP.AI_SN</v>
      </c>
      <c r="AU55" s="260" t="s">
        <v>1</v>
      </c>
      <c r="AV55" s="6" t="str">
        <f t="shared" si="9"/>
        <v>Sample Overflow Event Stop Second</v>
      </c>
      <c r="AW55" s="257">
        <v>0</v>
      </c>
      <c r="AX55" s="257">
        <v>0</v>
      </c>
      <c r="AY55" s="257">
        <v>0</v>
      </c>
      <c r="AZ55" s="257">
        <v>0</v>
      </c>
      <c r="BA55" s="257">
        <v>0</v>
      </c>
      <c r="BB55" s="257">
        <v>0</v>
      </c>
      <c r="BC55" s="257">
        <v>0</v>
      </c>
      <c r="BD55" s="257">
        <v>0</v>
      </c>
      <c r="BE55" s="257"/>
    </row>
    <row r="56" spans="1:64" s="256" customFormat="1" x14ac:dyDescent="0.25">
      <c r="A56" s="6" t="str">
        <f>(LEFT($A$3,8))&amp;"_"&amp;"TL1_AI_BE"</f>
        <v>BXX_OVF1_TL1_AI_BE</v>
      </c>
      <c r="B56" s="6" t="str">
        <f t="shared" si="4"/>
        <v>BXX_OVF1_FI1</v>
      </c>
      <c r="C56" s="6" t="str">
        <f>$C$3 &amp; " Total Number of Events"</f>
        <v>Sample Overflow Total Number of Events</v>
      </c>
      <c r="D56" s="4">
        <f t="shared" si="5"/>
        <v>38</v>
      </c>
      <c r="E56" s="258" t="s">
        <v>1</v>
      </c>
      <c r="F56" s="258" t="s">
        <v>0</v>
      </c>
      <c r="G56" s="2">
        <v>700</v>
      </c>
      <c r="H56" s="258" t="s">
        <v>0</v>
      </c>
      <c r="I56" s="258" t="s">
        <v>1</v>
      </c>
      <c r="J56" s="258">
        <v>0</v>
      </c>
      <c r="K56" s="258">
        <v>0</v>
      </c>
      <c r="L56" s="258" t="s">
        <v>487</v>
      </c>
      <c r="M56" s="258">
        <v>0</v>
      </c>
      <c r="N56" s="258">
        <v>0</v>
      </c>
      <c r="O56" s="258">
        <v>32767</v>
      </c>
      <c r="P56" s="258">
        <v>0</v>
      </c>
      <c r="Q56" s="258">
        <v>0</v>
      </c>
      <c r="R56" s="258" t="s">
        <v>40</v>
      </c>
      <c r="S56" s="258">
        <v>0</v>
      </c>
      <c r="T56" s="258">
        <v>1</v>
      </c>
      <c r="U56" s="258" t="s">
        <v>40</v>
      </c>
      <c r="V56" s="258">
        <v>0</v>
      </c>
      <c r="W56" s="258">
        <v>1</v>
      </c>
      <c r="X56" s="258" t="s">
        <v>40</v>
      </c>
      <c r="Y56" s="258">
        <v>0</v>
      </c>
      <c r="Z56" s="258">
        <v>1</v>
      </c>
      <c r="AA56" s="258" t="s">
        <v>40</v>
      </c>
      <c r="AB56" s="258">
        <v>0</v>
      </c>
      <c r="AC56" s="258">
        <v>1</v>
      </c>
      <c r="AD56" s="258" t="s">
        <v>40</v>
      </c>
      <c r="AE56" s="258">
        <v>0</v>
      </c>
      <c r="AF56" s="258">
        <v>1</v>
      </c>
      <c r="AG56" s="258" t="s">
        <v>40</v>
      </c>
      <c r="AH56" s="258">
        <v>0</v>
      </c>
      <c r="AI56" s="258">
        <v>1</v>
      </c>
      <c r="AJ56" s="258">
        <v>0</v>
      </c>
      <c r="AK56" s="258" t="s">
        <v>40</v>
      </c>
      <c r="AL56" s="258">
        <v>0</v>
      </c>
      <c r="AM56" s="258">
        <v>1</v>
      </c>
      <c r="AN56" s="258" t="s">
        <v>98</v>
      </c>
      <c r="AO56" s="258">
        <v>0</v>
      </c>
      <c r="AP56" s="258">
        <v>32767</v>
      </c>
      <c r="AQ56" s="258" t="s">
        <v>106</v>
      </c>
      <c r="AR56" s="6" t="str">
        <f t="shared" si="8"/>
        <v>BXX</v>
      </c>
      <c r="AS56" s="258" t="s">
        <v>1</v>
      </c>
      <c r="AT56" s="6" t="str">
        <f>(LEFT($A$3,8))&amp;"_"&amp;"TL1.AI_BE"</f>
        <v>BXX_OVF1_TL1.AI_BE</v>
      </c>
      <c r="AU56" s="260" t="s">
        <v>1</v>
      </c>
      <c r="AV56" s="6" t="str">
        <f t="shared" si="9"/>
        <v>Sample Overflow Total Number of Events</v>
      </c>
      <c r="AW56" s="258">
        <v>0</v>
      </c>
      <c r="AX56" s="258">
        <v>0</v>
      </c>
      <c r="AY56" s="258">
        <v>0</v>
      </c>
      <c r="AZ56" s="258">
        <v>0</v>
      </c>
      <c r="BA56" s="258">
        <v>0</v>
      </c>
      <c r="BB56" s="258">
        <v>0</v>
      </c>
      <c r="BC56" s="258">
        <v>0</v>
      </c>
      <c r="BD56" s="258">
        <v>0</v>
      </c>
      <c r="BE56" s="258"/>
      <c r="BF56" s="258"/>
      <c r="BG56" s="258"/>
      <c r="BH56" s="258"/>
      <c r="BI56" s="258"/>
      <c r="BJ56" s="258"/>
      <c r="BK56" s="258"/>
      <c r="BL56" s="258"/>
    </row>
    <row r="57" spans="1:64" s="256" customFormat="1" x14ac:dyDescent="0.25">
      <c r="A57" s="6" t="str">
        <f>(LEFT($A$3,8))&amp;"_"&amp;"ST1_AI_DY"</f>
        <v>BXX_OVF1_ST1_AI_DY</v>
      </c>
      <c r="B57" s="6" t="str">
        <f t="shared" si="4"/>
        <v>BXX_OVF1_FI1</v>
      </c>
      <c r="C57" s="6" t="str">
        <f>$C$3 &amp; " Event Start Day"</f>
        <v>Sample Overflow Event Start Day</v>
      </c>
      <c r="D57" s="4">
        <f t="shared" si="5"/>
        <v>31</v>
      </c>
      <c r="E57" s="259" t="s">
        <v>1</v>
      </c>
      <c r="F57" s="259" t="s">
        <v>0</v>
      </c>
      <c r="G57" s="2">
        <v>900</v>
      </c>
      <c r="H57" s="259" t="s">
        <v>0</v>
      </c>
      <c r="I57" s="259" t="s">
        <v>1</v>
      </c>
      <c r="J57" s="259">
        <v>0</v>
      </c>
      <c r="K57" s="259">
        <v>0</v>
      </c>
      <c r="L57" s="259" t="s">
        <v>400</v>
      </c>
      <c r="M57" s="259">
        <v>0</v>
      </c>
      <c r="N57" s="259">
        <v>0</v>
      </c>
      <c r="O57" s="259">
        <v>31</v>
      </c>
      <c r="P57" s="259">
        <v>0</v>
      </c>
      <c r="Q57" s="259">
        <v>0</v>
      </c>
      <c r="R57" s="259" t="s">
        <v>40</v>
      </c>
      <c r="S57" s="259">
        <v>0</v>
      </c>
      <c r="T57" s="259">
        <v>1</v>
      </c>
      <c r="U57" s="259" t="s">
        <v>40</v>
      </c>
      <c r="V57" s="259">
        <v>0</v>
      </c>
      <c r="W57" s="259">
        <v>1</v>
      </c>
      <c r="X57" s="259" t="s">
        <v>40</v>
      </c>
      <c r="Y57" s="259">
        <v>0</v>
      </c>
      <c r="Z57" s="259">
        <v>1</v>
      </c>
      <c r="AA57" s="259" t="s">
        <v>40</v>
      </c>
      <c r="AB57" s="259">
        <v>0</v>
      </c>
      <c r="AC57" s="259">
        <v>1</v>
      </c>
      <c r="AD57" s="259" t="s">
        <v>40</v>
      </c>
      <c r="AE57" s="259">
        <v>0</v>
      </c>
      <c r="AF57" s="259">
        <v>1</v>
      </c>
      <c r="AG57" s="259" t="s">
        <v>40</v>
      </c>
      <c r="AH57" s="259">
        <v>0</v>
      </c>
      <c r="AI57" s="259">
        <v>1</v>
      </c>
      <c r="AJ57" s="259">
        <v>0</v>
      </c>
      <c r="AK57" s="259" t="s">
        <v>40</v>
      </c>
      <c r="AL57" s="259">
        <v>0</v>
      </c>
      <c r="AM57" s="259">
        <v>1</v>
      </c>
      <c r="AN57" s="259" t="s">
        <v>98</v>
      </c>
      <c r="AO57" s="259">
        <v>0</v>
      </c>
      <c r="AP57" s="259">
        <v>31</v>
      </c>
      <c r="AQ57" s="259" t="s">
        <v>106</v>
      </c>
      <c r="AR57" s="6" t="str">
        <f t="shared" si="8"/>
        <v>BXX</v>
      </c>
      <c r="AS57" s="259" t="s">
        <v>1</v>
      </c>
      <c r="AT57" s="6" t="str">
        <f>(LEFT($A$3,8))&amp;"_"&amp;"TL1.ST.AI_DY"</f>
        <v>BXX_OVF1_TL1.ST.AI_DY</v>
      </c>
      <c r="AU57" s="260" t="s">
        <v>1</v>
      </c>
      <c r="AV57" s="6" t="str">
        <f t="shared" si="9"/>
        <v>Sample Overflow Event Start Day</v>
      </c>
      <c r="AW57" s="259">
        <v>0</v>
      </c>
      <c r="AX57" s="259">
        <v>0</v>
      </c>
      <c r="AY57" s="259">
        <v>0</v>
      </c>
      <c r="AZ57" s="259">
        <v>0</v>
      </c>
      <c r="BA57" s="259">
        <v>0</v>
      </c>
      <c r="BB57" s="259">
        <v>0</v>
      </c>
      <c r="BC57" s="259">
        <v>0</v>
      </c>
      <c r="BD57" s="259">
        <v>0</v>
      </c>
    </row>
    <row r="58" spans="1:64" s="256" customFormat="1" x14ac:dyDescent="0.25">
      <c r="A58" s="6" t="str">
        <f>(LEFT($A$3,8))&amp;"_"&amp;"TL1_AI_TM"</f>
        <v>BXX_OVF1_TL1_AI_TM</v>
      </c>
      <c r="B58" s="6" t="str">
        <f t="shared" si="4"/>
        <v>BXX_OVF1_FI1</v>
      </c>
      <c r="C58" s="6" t="str">
        <f>$C$3 &amp; " Event Duration"</f>
        <v>Sample Overflow Event Duration</v>
      </c>
      <c r="D58" s="4">
        <f t="shared" si="5"/>
        <v>30</v>
      </c>
      <c r="E58" s="259" t="s">
        <v>1</v>
      </c>
      <c r="F58" s="259" t="s">
        <v>1</v>
      </c>
      <c r="G58" s="259">
        <v>0</v>
      </c>
      <c r="H58" s="259" t="s">
        <v>0</v>
      </c>
      <c r="I58" s="259" t="s">
        <v>1</v>
      </c>
      <c r="J58" s="259">
        <v>0</v>
      </c>
      <c r="K58" s="259">
        <v>0</v>
      </c>
      <c r="L58" s="259" t="s">
        <v>485</v>
      </c>
      <c r="M58" s="259">
        <v>0</v>
      </c>
      <c r="N58" s="259">
        <v>0</v>
      </c>
      <c r="O58" s="259">
        <v>32767</v>
      </c>
      <c r="P58" s="259">
        <v>0</v>
      </c>
      <c r="Q58" s="259">
        <v>0</v>
      </c>
      <c r="R58" s="259" t="s">
        <v>40</v>
      </c>
      <c r="S58" s="259">
        <v>0</v>
      </c>
      <c r="T58" s="259">
        <v>1</v>
      </c>
      <c r="U58" s="259" t="s">
        <v>40</v>
      </c>
      <c r="V58" s="259">
        <v>0</v>
      </c>
      <c r="W58" s="259">
        <v>1</v>
      </c>
      <c r="X58" s="259" t="s">
        <v>40</v>
      </c>
      <c r="Y58" s="259">
        <v>0</v>
      </c>
      <c r="Z58" s="259">
        <v>1</v>
      </c>
      <c r="AA58" s="259" t="s">
        <v>40</v>
      </c>
      <c r="AB58" s="259">
        <v>0</v>
      </c>
      <c r="AC58" s="259">
        <v>1</v>
      </c>
      <c r="AD58" s="259" t="s">
        <v>40</v>
      </c>
      <c r="AE58" s="259">
        <v>0</v>
      </c>
      <c r="AF58" s="259">
        <v>1</v>
      </c>
      <c r="AG58" s="259" t="s">
        <v>40</v>
      </c>
      <c r="AH58" s="259">
        <v>0</v>
      </c>
      <c r="AI58" s="259">
        <v>1</v>
      </c>
      <c r="AJ58" s="259">
        <v>0</v>
      </c>
      <c r="AK58" s="259" t="s">
        <v>40</v>
      </c>
      <c r="AL58" s="259">
        <v>0</v>
      </c>
      <c r="AM58" s="259">
        <v>1</v>
      </c>
      <c r="AN58" s="259" t="s">
        <v>98</v>
      </c>
      <c r="AO58" s="259">
        <v>0</v>
      </c>
      <c r="AP58" s="259">
        <v>32767</v>
      </c>
      <c r="AQ58" s="259" t="s">
        <v>106</v>
      </c>
      <c r="AR58" s="6" t="str">
        <f t="shared" si="8"/>
        <v>BXX</v>
      </c>
      <c r="AS58" s="259" t="s">
        <v>1</v>
      </c>
      <c r="AT58" s="6" t="str">
        <f>(LEFT($A$3,8))&amp;"_"&amp;"TL1.AI_TM"</f>
        <v>BXX_OVF1_TL1.AI_TM</v>
      </c>
      <c r="AU58" s="260" t="s">
        <v>1</v>
      </c>
      <c r="AV58" s="6" t="str">
        <f t="shared" si="9"/>
        <v>Sample Overflow Event Duration</v>
      </c>
      <c r="AW58" s="259">
        <v>0</v>
      </c>
      <c r="AX58" s="259">
        <v>0</v>
      </c>
      <c r="AY58" s="259">
        <v>0</v>
      </c>
      <c r="AZ58" s="259">
        <v>0</v>
      </c>
      <c r="BA58" s="259">
        <v>0</v>
      </c>
      <c r="BB58" s="259">
        <v>0</v>
      </c>
      <c r="BC58" s="259">
        <v>0</v>
      </c>
      <c r="BD58" s="259">
        <v>0</v>
      </c>
    </row>
    <row r="59" spans="1:64" x14ac:dyDescent="0.25">
      <c r="A59" s="248" t="s">
        <v>107</v>
      </c>
      <c r="B59" s="248" t="s">
        <v>4</v>
      </c>
      <c r="C59" s="248" t="s">
        <v>5</v>
      </c>
      <c r="D59" s="4">
        <f t="shared" si="5"/>
        <v>7</v>
      </c>
      <c r="E59" s="248" t="s">
        <v>30</v>
      </c>
      <c r="F59" s="248" t="s">
        <v>6</v>
      </c>
      <c r="G59" s="248" t="s">
        <v>7</v>
      </c>
      <c r="H59" s="248" t="s">
        <v>31</v>
      </c>
      <c r="I59" s="248" t="s">
        <v>66</v>
      </c>
      <c r="J59" s="248" t="s">
        <v>67</v>
      </c>
      <c r="K59" s="248" t="s">
        <v>68</v>
      </c>
      <c r="L59" s="248" t="s">
        <v>69</v>
      </c>
      <c r="M59" s="248" t="s">
        <v>70</v>
      </c>
      <c r="N59" s="248" t="s">
        <v>101</v>
      </c>
      <c r="O59" s="248" t="s">
        <v>102</v>
      </c>
      <c r="P59" s="248" t="s">
        <v>73</v>
      </c>
      <c r="Q59" s="248" t="s">
        <v>74</v>
      </c>
      <c r="R59" s="248" t="s">
        <v>75</v>
      </c>
      <c r="S59" s="248" t="s">
        <v>76</v>
      </c>
      <c r="T59" s="248" t="s">
        <v>77</v>
      </c>
      <c r="U59" s="248" t="s">
        <v>78</v>
      </c>
      <c r="V59" s="248" t="s">
        <v>79</v>
      </c>
      <c r="W59" s="248" t="s">
        <v>80</v>
      </c>
      <c r="X59" s="248" t="s">
        <v>81</v>
      </c>
      <c r="Y59" s="248" t="s">
        <v>82</v>
      </c>
      <c r="Z59" s="248" t="s">
        <v>83</v>
      </c>
      <c r="AA59" s="248" t="s">
        <v>84</v>
      </c>
      <c r="AB59" s="248" t="s">
        <v>85</v>
      </c>
      <c r="AC59" s="248" t="s">
        <v>86</v>
      </c>
      <c r="AD59" s="248" t="s">
        <v>87</v>
      </c>
      <c r="AE59" s="248" t="s">
        <v>88</v>
      </c>
      <c r="AF59" s="248" t="s">
        <v>89</v>
      </c>
      <c r="AG59" s="248" t="s">
        <v>90</v>
      </c>
      <c r="AH59" s="248" t="s">
        <v>91</v>
      </c>
      <c r="AI59" s="248" t="s">
        <v>92</v>
      </c>
      <c r="AJ59" s="248" t="s">
        <v>93</v>
      </c>
      <c r="AK59" s="248" t="s">
        <v>94</v>
      </c>
      <c r="AL59" s="248" t="s">
        <v>95</v>
      </c>
      <c r="AM59" s="248" t="s">
        <v>96</v>
      </c>
      <c r="AN59" s="248" t="s">
        <v>97</v>
      </c>
      <c r="AO59" s="248" t="s">
        <v>103</v>
      </c>
      <c r="AP59" s="248" t="s">
        <v>104</v>
      </c>
      <c r="AQ59" s="248" t="s">
        <v>105</v>
      </c>
      <c r="AR59" s="248" t="s">
        <v>45</v>
      </c>
      <c r="AS59" s="248" t="s">
        <v>46</v>
      </c>
      <c r="AT59" s="248" t="s">
        <v>47</v>
      </c>
      <c r="AU59" s="248" t="s">
        <v>48</v>
      </c>
      <c r="AV59" s="248" t="s">
        <v>37</v>
      </c>
      <c r="AW59" s="248" t="s">
        <v>38</v>
      </c>
      <c r="AX59" s="248" t="s">
        <v>8</v>
      </c>
      <c r="AY59" s="248" t="s">
        <v>9</v>
      </c>
      <c r="AZ59" s="248" t="s">
        <v>10</v>
      </c>
      <c r="BA59" s="248" t="s">
        <v>11</v>
      </c>
      <c r="BB59" s="248" t="s">
        <v>12</v>
      </c>
      <c r="BC59" s="248" t="s">
        <v>13</v>
      </c>
      <c r="BD59" s="248" t="s">
        <v>14</v>
      </c>
      <c r="BE59" s="248" t="s">
        <v>16</v>
      </c>
      <c r="BF59" s="248" t="s">
        <v>17</v>
      </c>
      <c r="BG59" s="248" t="s">
        <v>18</v>
      </c>
      <c r="BH59" s="248" t="s">
        <v>19</v>
      </c>
      <c r="BI59" s="248" t="s">
        <v>20</v>
      </c>
      <c r="BJ59" s="248" t="s">
        <v>21</v>
      </c>
      <c r="BK59" s="248" t="s">
        <v>22</v>
      </c>
      <c r="BL59" s="248" t="s">
        <v>39</v>
      </c>
    </row>
    <row r="60" spans="1:64" x14ac:dyDescent="0.25">
      <c r="A60" s="6" t="str">
        <f>$A$3&amp;"_"&amp;"SN_LL"</f>
        <v>BXX_OVF1_FI1_SN_LL</v>
      </c>
      <c r="B60" s="6" t="str">
        <f t="shared" ref="B60:C83" si="10">$A$3</f>
        <v>BXX_OVF1_FI1</v>
      </c>
      <c r="C60" s="6" t="str">
        <f>$C$3 &amp; " LOLO Alarm Delay"</f>
        <v>Sample Overflow LOLO Alarm Delay</v>
      </c>
      <c r="D60" s="4">
        <f t="shared" si="5"/>
        <v>32</v>
      </c>
      <c r="E60" s="248" t="s">
        <v>1</v>
      </c>
      <c r="F60" s="248" t="s">
        <v>0</v>
      </c>
      <c r="G60" s="2">
        <v>600</v>
      </c>
      <c r="H60" s="248" t="s">
        <v>0</v>
      </c>
      <c r="I60" s="248" t="s">
        <v>1</v>
      </c>
      <c r="J60" s="248">
        <v>0</v>
      </c>
      <c r="K60" s="248">
        <v>0</v>
      </c>
      <c r="L60" s="248" t="s">
        <v>109</v>
      </c>
      <c r="M60" s="6">
        <f>N60</f>
        <v>0</v>
      </c>
      <c r="N60" s="248">
        <v>0</v>
      </c>
      <c r="O60" s="248">
        <v>999</v>
      </c>
      <c r="P60" s="248">
        <v>0</v>
      </c>
      <c r="Q60" s="248">
        <v>0</v>
      </c>
      <c r="R60" s="248" t="s">
        <v>40</v>
      </c>
      <c r="S60" s="248">
        <v>0</v>
      </c>
      <c r="T60" s="248">
        <v>1</v>
      </c>
      <c r="U60" s="248" t="s">
        <v>40</v>
      </c>
      <c r="V60" s="248">
        <v>0</v>
      </c>
      <c r="W60" s="248">
        <v>1</v>
      </c>
      <c r="X60" s="248" t="s">
        <v>40</v>
      </c>
      <c r="Y60" s="248">
        <v>0</v>
      </c>
      <c r="Z60" s="248">
        <v>1</v>
      </c>
      <c r="AA60" s="248" t="s">
        <v>40</v>
      </c>
      <c r="AB60" s="248">
        <v>0</v>
      </c>
      <c r="AC60" s="248">
        <v>1</v>
      </c>
      <c r="AD60" s="248" t="s">
        <v>40</v>
      </c>
      <c r="AE60" s="248">
        <v>0</v>
      </c>
      <c r="AF60" s="248">
        <v>1</v>
      </c>
      <c r="AG60" s="248" t="s">
        <v>40</v>
      </c>
      <c r="AH60" s="248">
        <v>0</v>
      </c>
      <c r="AI60" s="248">
        <v>1</v>
      </c>
      <c r="AJ60" s="248">
        <v>0</v>
      </c>
      <c r="AK60" s="248" t="s">
        <v>40</v>
      </c>
      <c r="AL60" s="248">
        <v>0</v>
      </c>
      <c r="AM60" s="248">
        <v>1</v>
      </c>
      <c r="AN60" s="248" t="s">
        <v>98</v>
      </c>
      <c r="AO60" s="6">
        <f>N60</f>
        <v>0</v>
      </c>
      <c r="AP60" s="6">
        <f>O60</f>
        <v>999</v>
      </c>
      <c r="AQ60" s="248" t="s">
        <v>106</v>
      </c>
      <c r="AR60" s="6" t="str">
        <f>$O$6</f>
        <v>BXX</v>
      </c>
      <c r="AS60" s="248" t="s">
        <v>1</v>
      </c>
      <c r="AT60" s="6" t="str">
        <f>$A$3&amp;".SN_LL"</f>
        <v>BXX_OVF1_FI1.SN_LL</v>
      </c>
      <c r="AU60" s="248" t="s">
        <v>1</v>
      </c>
      <c r="AV60" s="6" t="str">
        <f>C60</f>
        <v>Sample Overflow LOLO Alarm Delay</v>
      </c>
      <c r="AW60" s="248">
        <v>0</v>
      </c>
      <c r="AX60" s="248">
        <v>0</v>
      </c>
      <c r="AY60" s="248">
        <v>0</v>
      </c>
      <c r="AZ60" s="248">
        <v>0</v>
      </c>
      <c r="BA60" s="248">
        <v>0</v>
      </c>
      <c r="BB60" s="248">
        <v>0</v>
      </c>
      <c r="BC60" s="248">
        <v>0</v>
      </c>
      <c r="BD60" s="248">
        <v>0</v>
      </c>
    </row>
    <row r="61" spans="1:64" x14ac:dyDescent="0.25">
      <c r="A61" s="6" t="str">
        <f>$A$3&amp;"_"&amp;"SN_HI"</f>
        <v>BXX_OVF1_FI1_SN_HI</v>
      </c>
      <c r="B61" s="6" t="str">
        <f t="shared" si="10"/>
        <v>BXX_OVF1_FI1</v>
      </c>
      <c r="C61" s="6" t="str">
        <f>$C$3 &amp; " High Alarm Delay"</f>
        <v>Sample Overflow High Alarm Delay</v>
      </c>
      <c r="D61" s="4">
        <f t="shared" ref="D61:D144" si="11">LEN(C61)</f>
        <v>32</v>
      </c>
      <c r="E61" s="248" t="s">
        <v>1</v>
      </c>
      <c r="F61" s="248" t="s">
        <v>0</v>
      </c>
      <c r="G61" s="2">
        <v>600</v>
      </c>
      <c r="H61" s="248" t="s">
        <v>0</v>
      </c>
      <c r="I61" s="248" t="s">
        <v>1</v>
      </c>
      <c r="J61" s="248">
        <v>0</v>
      </c>
      <c r="K61" s="248">
        <v>0</v>
      </c>
      <c r="L61" s="220" t="s">
        <v>109</v>
      </c>
      <c r="M61" s="6">
        <f t="shared" ref="M61:M80" si="12">N61</f>
        <v>0</v>
      </c>
      <c r="N61" s="248">
        <v>0</v>
      </c>
      <c r="O61" s="248">
        <v>999</v>
      </c>
      <c r="P61" s="248">
        <v>0</v>
      </c>
      <c r="Q61" s="248">
        <v>0</v>
      </c>
      <c r="R61" s="248" t="s">
        <v>40</v>
      </c>
      <c r="S61" s="248">
        <v>0</v>
      </c>
      <c r="T61" s="248">
        <v>1</v>
      </c>
      <c r="U61" s="248" t="s">
        <v>40</v>
      </c>
      <c r="V61" s="248">
        <v>0</v>
      </c>
      <c r="W61" s="248">
        <v>1</v>
      </c>
      <c r="X61" s="248" t="s">
        <v>40</v>
      </c>
      <c r="Y61" s="248">
        <v>0</v>
      </c>
      <c r="Z61" s="248">
        <v>1</v>
      </c>
      <c r="AA61" s="248" t="s">
        <v>40</v>
      </c>
      <c r="AB61" s="248">
        <v>0</v>
      </c>
      <c r="AC61" s="248">
        <v>1</v>
      </c>
      <c r="AD61" s="248" t="s">
        <v>40</v>
      </c>
      <c r="AE61" s="248">
        <v>0</v>
      </c>
      <c r="AF61" s="248">
        <v>1</v>
      </c>
      <c r="AG61" s="248" t="s">
        <v>40</v>
      </c>
      <c r="AH61" s="248">
        <v>0</v>
      </c>
      <c r="AI61" s="248">
        <v>1</v>
      </c>
      <c r="AJ61" s="248">
        <v>0</v>
      </c>
      <c r="AK61" s="248" t="s">
        <v>40</v>
      </c>
      <c r="AL61" s="248">
        <v>0</v>
      </c>
      <c r="AM61" s="248">
        <v>1</v>
      </c>
      <c r="AN61" s="248" t="s">
        <v>98</v>
      </c>
      <c r="AO61" s="6">
        <f t="shared" ref="AO61:AP80" si="13">N61</f>
        <v>0</v>
      </c>
      <c r="AP61" s="6">
        <f t="shared" si="13"/>
        <v>999</v>
      </c>
      <c r="AQ61" s="248" t="s">
        <v>106</v>
      </c>
      <c r="AR61" s="6" t="str">
        <f t="shared" ref="AR61:AR81" si="14">$O$6</f>
        <v>BXX</v>
      </c>
      <c r="AS61" s="248" t="s">
        <v>1</v>
      </c>
      <c r="AT61" s="6" t="str">
        <f>$A$3&amp;".SN_HI"</f>
        <v>BXX_OVF1_FI1.SN_HI</v>
      </c>
      <c r="AU61" s="248" t="s">
        <v>1</v>
      </c>
      <c r="AV61" s="6" t="str">
        <f t="shared" ref="AV61:AV81" si="15">C61</f>
        <v>Sample Overflow High Alarm Delay</v>
      </c>
      <c r="AW61" s="248">
        <v>0</v>
      </c>
      <c r="AX61" s="248">
        <v>0</v>
      </c>
      <c r="AY61" s="248">
        <v>0</v>
      </c>
      <c r="AZ61" s="248">
        <v>0</v>
      </c>
      <c r="BA61" s="248">
        <v>0</v>
      </c>
      <c r="BB61" s="248">
        <v>0</v>
      </c>
      <c r="BC61" s="248">
        <v>0</v>
      </c>
      <c r="BD61" s="248">
        <v>0</v>
      </c>
    </row>
    <row r="62" spans="1:64" x14ac:dyDescent="0.25">
      <c r="A62" s="6" t="str">
        <f>$A$3&amp;"_"&amp;"AI_CV"</f>
        <v>BXX_OVF1_FI1_AI_CV</v>
      </c>
      <c r="B62" s="6" t="str">
        <f t="shared" si="10"/>
        <v>BXX_OVF1_FI1</v>
      </c>
      <c r="C62" s="6" t="str">
        <f>$C$3 &amp; " Current Value"</f>
        <v>Sample Overflow Current Value</v>
      </c>
      <c r="D62" s="4">
        <f t="shared" si="11"/>
        <v>29</v>
      </c>
      <c r="E62" s="248" t="s">
        <v>0</v>
      </c>
      <c r="F62" s="248" t="s">
        <v>1</v>
      </c>
      <c r="G62" s="248">
        <v>0</v>
      </c>
      <c r="H62" s="248" t="s">
        <v>0</v>
      </c>
      <c r="I62" s="248" t="s">
        <v>1</v>
      </c>
      <c r="J62" s="248">
        <v>0</v>
      </c>
      <c r="K62" s="248">
        <v>0</v>
      </c>
      <c r="L62" s="220" t="s">
        <v>110</v>
      </c>
      <c r="M62" s="6">
        <f t="shared" si="12"/>
        <v>0</v>
      </c>
      <c r="N62" s="2">
        <v>0</v>
      </c>
      <c r="O62" s="2">
        <v>150</v>
      </c>
      <c r="P62" s="248">
        <v>0</v>
      </c>
      <c r="Q62" s="6">
        <f>(O62-N62)*0.01</f>
        <v>1.5</v>
      </c>
      <c r="R62" s="248" t="s">
        <v>40</v>
      </c>
      <c r="S62" s="248">
        <v>0</v>
      </c>
      <c r="T62" s="248">
        <v>1</v>
      </c>
      <c r="U62" s="248" t="s">
        <v>40</v>
      </c>
      <c r="V62" s="248">
        <v>0</v>
      </c>
      <c r="W62" s="248">
        <v>1</v>
      </c>
      <c r="X62" s="248" t="s">
        <v>40</v>
      </c>
      <c r="Y62" s="248">
        <v>0</v>
      </c>
      <c r="Z62" s="248">
        <v>1</v>
      </c>
      <c r="AA62" s="248" t="s">
        <v>40</v>
      </c>
      <c r="AB62" s="248">
        <v>0</v>
      </c>
      <c r="AC62" s="248">
        <v>1</v>
      </c>
      <c r="AD62" s="248" t="s">
        <v>40</v>
      </c>
      <c r="AE62" s="248">
        <v>0</v>
      </c>
      <c r="AF62" s="248">
        <v>1</v>
      </c>
      <c r="AG62" s="248" t="s">
        <v>40</v>
      </c>
      <c r="AH62" s="248">
        <v>0</v>
      </c>
      <c r="AI62" s="248">
        <v>1</v>
      </c>
      <c r="AJ62" s="248">
        <v>0</v>
      </c>
      <c r="AK62" s="248" t="s">
        <v>40</v>
      </c>
      <c r="AL62" s="248">
        <v>0</v>
      </c>
      <c r="AM62" s="248">
        <v>1</v>
      </c>
      <c r="AN62" s="248" t="s">
        <v>98</v>
      </c>
      <c r="AO62" s="6">
        <f t="shared" si="13"/>
        <v>0</v>
      </c>
      <c r="AP62" s="6">
        <f t="shared" si="13"/>
        <v>150</v>
      </c>
      <c r="AQ62" s="248" t="s">
        <v>106</v>
      </c>
      <c r="AR62" s="6" t="str">
        <f t="shared" si="14"/>
        <v>BXX</v>
      </c>
      <c r="AS62" s="248" t="s">
        <v>1</v>
      </c>
      <c r="AT62" s="6" t="str">
        <f>$A$3&amp;".AI_CV"</f>
        <v>BXX_OVF1_FI1.AI_CV</v>
      </c>
      <c r="AU62" s="248" t="s">
        <v>1</v>
      </c>
      <c r="AV62" s="6" t="str">
        <f t="shared" si="15"/>
        <v>Sample Overflow Current Value</v>
      </c>
      <c r="AW62" s="248">
        <v>0</v>
      </c>
      <c r="AX62" s="248">
        <v>0</v>
      </c>
      <c r="AY62" s="248">
        <v>0</v>
      </c>
      <c r="AZ62" s="248">
        <v>0</v>
      </c>
      <c r="BA62" s="248">
        <v>0</v>
      </c>
      <c r="BB62" s="248">
        <v>0</v>
      </c>
      <c r="BC62" s="248">
        <v>0</v>
      </c>
      <c r="BD62" s="248">
        <v>0</v>
      </c>
    </row>
    <row r="63" spans="1:64" s="220" customFormat="1" x14ac:dyDescent="0.25">
      <c r="A63" s="3" t="str">
        <f>$A$3&amp;"_"&amp;"AI_ND"</f>
        <v>BXX_OVF1_FI1_AI_ND</v>
      </c>
      <c r="B63" s="6" t="str">
        <f t="shared" si="10"/>
        <v>BXX_OVF1_FI1</v>
      </c>
      <c r="C63" s="6" t="str">
        <f>$C$3 &amp; " Min Value Today"</f>
        <v>Sample Overflow Min Value Today</v>
      </c>
      <c r="D63" s="4">
        <f t="shared" si="11"/>
        <v>31</v>
      </c>
      <c r="E63" s="220" t="s">
        <v>0</v>
      </c>
      <c r="F63" s="220" t="s">
        <v>1</v>
      </c>
      <c r="G63" s="220">
        <v>0</v>
      </c>
      <c r="H63" s="220" t="s">
        <v>0</v>
      </c>
      <c r="I63" s="220" t="s">
        <v>1</v>
      </c>
      <c r="J63" s="220">
        <v>0</v>
      </c>
      <c r="K63" s="220">
        <v>0</v>
      </c>
      <c r="L63" s="220" t="s">
        <v>110</v>
      </c>
      <c r="M63" s="6">
        <f t="shared" si="12"/>
        <v>0</v>
      </c>
      <c r="N63" s="6">
        <f>$N$62</f>
        <v>0</v>
      </c>
      <c r="O63" s="6">
        <f>$O$62</f>
        <v>150</v>
      </c>
      <c r="P63" s="220">
        <v>0</v>
      </c>
      <c r="Q63" s="6">
        <f>(O63-N63)*0.01</f>
        <v>1.5</v>
      </c>
      <c r="R63" s="220" t="s">
        <v>40</v>
      </c>
      <c r="S63" s="220">
        <v>0</v>
      </c>
      <c r="T63" s="220">
        <v>1</v>
      </c>
      <c r="U63" s="220" t="s">
        <v>40</v>
      </c>
      <c r="V63" s="220">
        <v>0</v>
      </c>
      <c r="W63" s="220">
        <v>1</v>
      </c>
      <c r="X63" s="220" t="s">
        <v>40</v>
      </c>
      <c r="Y63" s="220">
        <v>0</v>
      </c>
      <c r="Z63" s="220">
        <v>1</v>
      </c>
      <c r="AA63" s="220" t="s">
        <v>40</v>
      </c>
      <c r="AB63" s="220">
        <v>0</v>
      </c>
      <c r="AC63" s="220">
        <v>1</v>
      </c>
      <c r="AD63" s="220" t="s">
        <v>40</v>
      </c>
      <c r="AE63" s="220">
        <v>0</v>
      </c>
      <c r="AF63" s="220">
        <v>1</v>
      </c>
      <c r="AG63" s="220" t="s">
        <v>40</v>
      </c>
      <c r="AH63" s="220">
        <v>0</v>
      </c>
      <c r="AI63" s="220">
        <v>1</v>
      </c>
      <c r="AJ63" s="220">
        <v>0</v>
      </c>
      <c r="AK63" s="220" t="s">
        <v>40</v>
      </c>
      <c r="AL63" s="220">
        <v>0</v>
      </c>
      <c r="AM63" s="220">
        <v>1</v>
      </c>
      <c r="AN63" s="220" t="s">
        <v>98</v>
      </c>
      <c r="AO63" s="6">
        <f t="shared" si="13"/>
        <v>0</v>
      </c>
      <c r="AP63" s="6">
        <f t="shared" si="13"/>
        <v>150</v>
      </c>
      <c r="AQ63" s="220" t="s">
        <v>106</v>
      </c>
      <c r="AR63" s="6" t="str">
        <f t="shared" si="14"/>
        <v>BXX</v>
      </c>
      <c r="AS63" s="220" t="s">
        <v>1</v>
      </c>
      <c r="AT63" s="6" t="str">
        <f>$A$3&amp;".AI_ND"</f>
        <v>BXX_OVF1_FI1.AI_ND</v>
      </c>
      <c r="AU63" s="220" t="s">
        <v>1</v>
      </c>
      <c r="AV63" s="6" t="str">
        <f t="shared" si="15"/>
        <v>Sample Overflow Min Value Today</v>
      </c>
      <c r="AW63" s="220">
        <v>0</v>
      </c>
      <c r="AX63" s="220">
        <v>0</v>
      </c>
      <c r="AY63" s="220">
        <v>0</v>
      </c>
      <c r="AZ63" s="220">
        <v>0</v>
      </c>
      <c r="BA63" s="220">
        <v>0</v>
      </c>
      <c r="BB63" s="220">
        <v>0</v>
      </c>
      <c r="BC63" s="220">
        <v>0</v>
      </c>
      <c r="BD63" s="220">
        <v>0</v>
      </c>
    </row>
    <row r="64" spans="1:64" s="220" customFormat="1" x14ac:dyDescent="0.25">
      <c r="A64" s="3" t="str">
        <f>$A$3&amp;"_"&amp;"AI_NP"</f>
        <v>BXX_OVF1_FI1_AI_NP</v>
      </c>
      <c r="B64" s="6" t="str">
        <f t="shared" si="10"/>
        <v>BXX_OVF1_FI1</v>
      </c>
      <c r="C64" s="6" t="str">
        <f>$C$3 &amp; " Max Value Today"</f>
        <v>Sample Overflow Max Value Today</v>
      </c>
      <c r="D64" s="4">
        <f t="shared" si="11"/>
        <v>31</v>
      </c>
      <c r="E64" s="220" t="s">
        <v>0</v>
      </c>
      <c r="F64" s="220" t="s">
        <v>1</v>
      </c>
      <c r="G64" s="220">
        <v>0</v>
      </c>
      <c r="H64" s="220" t="s">
        <v>0</v>
      </c>
      <c r="I64" s="220" t="s">
        <v>1</v>
      </c>
      <c r="J64" s="220">
        <v>0</v>
      </c>
      <c r="K64" s="220">
        <v>0</v>
      </c>
      <c r="L64" s="220" t="s">
        <v>110</v>
      </c>
      <c r="M64" s="6">
        <f t="shared" si="12"/>
        <v>0</v>
      </c>
      <c r="N64" s="6">
        <f t="shared" ref="N64:N66" si="16">$N$62</f>
        <v>0</v>
      </c>
      <c r="O64" s="6">
        <f t="shared" ref="O64:O66" si="17">$O$62</f>
        <v>150</v>
      </c>
      <c r="P64" s="220">
        <v>0</v>
      </c>
      <c r="Q64" s="6">
        <f>(O64-N64)*0.01</f>
        <v>1.5</v>
      </c>
      <c r="R64" s="220" t="s">
        <v>40</v>
      </c>
      <c r="S64" s="220">
        <v>0</v>
      </c>
      <c r="T64" s="220">
        <v>1</v>
      </c>
      <c r="U64" s="220" t="s">
        <v>40</v>
      </c>
      <c r="V64" s="220">
        <v>0</v>
      </c>
      <c r="W64" s="220">
        <v>1</v>
      </c>
      <c r="X64" s="220" t="s">
        <v>40</v>
      </c>
      <c r="Y64" s="220">
        <v>0</v>
      </c>
      <c r="Z64" s="220">
        <v>1</v>
      </c>
      <c r="AA64" s="220" t="s">
        <v>40</v>
      </c>
      <c r="AB64" s="220">
        <v>0</v>
      </c>
      <c r="AC64" s="220">
        <v>1</v>
      </c>
      <c r="AD64" s="220" t="s">
        <v>40</v>
      </c>
      <c r="AE64" s="220">
        <v>0</v>
      </c>
      <c r="AF64" s="220">
        <v>1</v>
      </c>
      <c r="AG64" s="220" t="s">
        <v>40</v>
      </c>
      <c r="AH64" s="220">
        <v>0</v>
      </c>
      <c r="AI64" s="220">
        <v>1</v>
      </c>
      <c r="AJ64" s="220">
        <v>0</v>
      </c>
      <c r="AK64" s="220" t="s">
        <v>40</v>
      </c>
      <c r="AL64" s="220">
        <v>0</v>
      </c>
      <c r="AM64" s="220">
        <v>1</v>
      </c>
      <c r="AN64" s="220" t="s">
        <v>98</v>
      </c>
      <c r="AO64" s="6">
        <f t="shared" si="13"/>
        <v>0</v>
      </c>
      <c r="AP64" s="6">
        <f t="shared" si="13"/>
        <v>150</v>
      </c>
      <c r="AQ64" s="220" t="s">
        <v>106</v>
      </c>
      <c r="AR64" s="6" t="str">
        <f t="shared" si="14"/>
        <v>BXX</v>
      </c>
      <c r="AS64" s="220" t="s">
        <v>1</v>
      </c>
      <c r="AT64" s="6" t="str">
        <f>$A$3&amp;".AI_NP"</f>
        <v>BXX_OVF1_FI1.AI_NP</v>
      </c>
      <c r="AU64" s="220" t="s">
        <v>1</v>
      </c>
      <c r="AV64" s="6" t="str">
        <f t="shared" si="15"/>
        <v>Sample Overflow Max Value Today</v>
      </c>
      <c r="AW64" s="220">
        <v>0</v>
      </c>
      <c r="AX64" s="220">
        <v>0</v>
      </c>
      <c r="AY64" s="220">
        <v>0</v>
      </c>
      <c r="AZ64" s="220">
        <v>0</v>
      </c>
      <c r="BA64" s="220">
        <v>0</v>
      </c>
      <c r="BB64" s="220">
        <v>0</v>
      </c>
      <c r="BC64" s="220">
        <v>0</v>
      </c>
      <c r="BD64" s="220">
        <v>0</v>
      </c>
    </row>
    <row r="65" spans="1:56" s="220" customFormat="1" x14ac:dyDescent="0.25">
      <c r="A65" s="3" t="str">
        <f>$A$3&amp;"_"&amp;"AI_XD"</f>
        <v>BXX_OVF1_FI1_AI_XD</v>
      </c>
      <c r="B65" s="6" t="str">
        <f t="shared" si="10"/>
        <v>BXX_OVF1_FI1</v>
      </c>
      <c r="C65" s="6" t="str">
        <f>$C$3 &amp; " Min Value Yesterday"</f>
        <v>Sample Overflow Min Value Yesterday</v>
      </c>
      <c r="D65" s="4">
        <f t="shared" si="11"/>
        <v>35</v>
      </c>
      <c r="E65" s="220" t="s">
        <v>1</v>
      </c>
      <c r="F65" s="220" t="s">
        <v>1</v>
      </c>
      <c r="G65" s="220">
        <v>0</v>
      </c>
      <c r="H65" s="220" t="s">
        <v>0</v>
      </c>
      <c r="I65" s="220" t="s">
        <v>1</v>
      </c>
      <c r="J65" s="220">
        <v>0</v>
      </c>
      <c r="K65" s="220">
        <v>0</v>
      </c>
      <c r="L65" s="220" t="s">
        <v>110</v>
      </c>
      <c r="M65" s="6">
        <f t="shared" si="12"/>
        <v>0</v>
      </c>
      <c r="N65" s="6">
        <f t="shared" si="16"/>
        <v>0</v>
      </c>
      <c r="O65" s="6">
        <f t="shared" si="17"/>
        <v>150</v>
      </c>
      <c r="P65" s="220">
        <v>0</v>
      </c>
      <c r="Q65" s="220">
        <v>0</v>
      </c>
      <c r="R65" s="220" t="s">
        <v>40</v>
      </c>
      <c r="S65" s="220">
        <v>0</v>
      </c>
      <c r="T65" s="220">
        <v>1</v>
      </c>
      <c r="U65" s="220" t="s">
        <v>40</v>
      </c>
      <c r="V65" s="220">
        <v>0</v>
      </c>
      <c r="W65" s="220">
        <v>1</v>
      </c>
      <c r="X65" s="220" t="s">
        <v>40</v>
      </c>
      <c r="Y65" s="220">
        <v>0</v>
      </c>
      <c r="Z65" s="220">
        <v>1</v>
      </c>
      <c r="AA65" s="220" t="s">
        <v>40</v>
      </c>
      <c r="AB65" s="220">
        <v>0</v>
      </c>
      <c r="AC65" s="220">
        <v>1</v>
      </c>
      <c r="AD65" s="220" t="s">
        <v>40</v>
      </c>
      <c r="AE65" s="220">
        <v>0</v>
      </c>
      <c r="AF65" s="220">
        <v>1</v>
      </c>
      <c r="AG65" s="220" t="s">
        <v>40</v>
      </c>
      <c r="AH65" s="220">
        <v>0</v>
      </c>
      <c r="AI65" s="220">
        <v>1</v>
      </c>
      <c r="AJ65" s="220">
        <v>0</v>
      </c>
      <c r="AK65" s="220" t="s">
        <v>40</v>
      </c>
      <c r="AL65" s="220">
        <v>0</v>
      </c>
      <c r="AM65" s="220">
        <v>1</v>
      </c>
      <c r="AN65" s="220" t="s">
        <v>98</v>
      </c>
      <c r="AO65" s="6">
        <f t="shared" si="13"/>
        <v>0</v>
      </c>
      <c r="AP65" s="6">
        <f t="shared" si="13"/>
        <v>150</v>
      </c>
      <c r="AQ65" s="220" t="s">
        <v>106</v>
      </c>
      <c r="AR65" s="6" t="str">
        <f t="shared" si="14"/>
        <v>BXX</v>
      </c>
      <c r="AS65" s="220" t="s">
        <v>1</v>
      </c>
      <c r="AT65" s="6" t="str">
        <f>$A$3&amp;".AI_XD"</f>
        <v>BXX_OVF1_FI1.AI_XD</v>
      </c>
      <c r="AU65" s="220" t="s">
        <v>1</v>
      </c>
      <c r="AV65" s="6" t="str">
        <f t="shared" si="15"/>
        <v>Sample Overflow Min Value Yesterday</v>
      </c>
      <c r="AW65" s="220">
        <v>0</v>
      </c>
      <c r="AX65" s="220">
        <v>0</v>
      </c>
      <c r="AY65" s="220">
        <v>0</v>
      </c>
      <c r="AZ65" s="220">
        <v>0</v>
      </c>
      <c r="BA65" s="220">
        <v>0</v>
      </c>
      <c r="BB65" s="220">
        <v>0</v>
      </c>
      <c r="BC65" s="220">
        <v>0</v>
      </c>
      <c r="BD65" s="220">
        <v>0</v>
      </c>
    </row>
    <row r="66" spans="1:56" s="220" customFormat="1" x14ac:dyDescent="0.25">
      <c r="A66" s="3" t="str">
        <f>$A$3&amp;"_"&amp;"AI_XP"</f>
        <v>BXX_OVF1_FI1_AI_XP</v>
      </c>
      <c r="B66" s="6" t="str">
        <f t="shared" si="10"/>
        <v>BXX_OVF1_FI1</v>
      </c>
      <c r="C66" s="6" t="str">
        <f>$C$3 &amp; " Max Value Yesterday"</f>
        <v>Sample Overflow Max Value Yesterday</v>
      </c>
      <c r="D66" s="4">
        <f t="shared" si="11"/>
        <v>35</v>
      </c>
      <c r="E66" s="220" t="s">
        <v>1</v>
      </c>
      <c r="F66" s="220" t="s">
        <v>1</v>
      </c>
      <c r="G66" s="220">
        <v>0</v>
      </c>
      <c r="H66" s="220" t="s">
        <v>0</v>
      </c>
      <c r="I66" s="220" t="s">
        <v>1</v>
      </c>
      <c r="J66" s="220">
        <v>0</v>
      </c>
      <c r="K66" s="220">
        <v>0</v>
      </c>
      <c r="L66" s="220" t="s">
        <v>110</v>
      </c>
      <c r="M66" s="6">
        <f t="shared" si="12"/>
        <v>0</v>
      </c>
      <c r="N66" s="6">
        <f t="shared" si="16"/>
        <v>0</v>
      </c>
      <c r="O66" s="6">
        <f t="shared" si="17"/>
        <v>150</v>
      </c>
      <c r="P66" s="220">
        <v>0</v>
      </c>
      <c r="Q66" s="220">
        <v>0</v>
      </c>
      <c r="R66" s="220" t="s">
        <v>40</v>
      </c>
      <c r="S66" s="220">
        <v>0</v>
      </c>
      <c r="T66" s="220">
        <v>1</v>
      </c>
      <c r="U66" s="220" t="s">
        <v>40</v>
      </c>
      <c r="V66" s="220">
        <v>0</v>
      </c>
      <c r="W66" s="220">
        <v>1</v>
      </c>
      <c r="X66" s="220" t="s">
        <v>40</v>
      </c>
      <c r="Y66" s="220">
        <v>0</v>
      </c>
      <c r="Z66" s="220">
        <v>1</v>
      </c>
      <c r="AA66" s="220" t="s">
        <v>40</v>
      </c>
      <c r="AB66" s="220">
        <v>0</v>
      </c>
      <c r="AC66" s="220">
        <v>1</v>
      </c>
      <c r="AD66" s="220" t="s">
        <v>40</v>
      </c>
      <c r="AE66" s="220">
        <v>0</v>
      </c>
      <c r="AF66" s="220">
        <v>1</v>
      </c>
      <c r="AG66" s="220" t="s">
        <v>40</v>
      </c>
      <c r="AH66" s="220">
        <v>0</v>
      </c>
      <c r="AI66" s="220">
        <v>1</v>
      </c>
      <c r="AJ66" s="220">
        <v>0</v>
      </c>
      <c r="AK66" s="220" t="s">
        <v>40</v>
      </c>
      <c r="AL66" s="220">
        <v>0</v>
      </c>
      <c r="AM66" s="220">
        <v>1</v>
      </c>
      <c r="AN66" s="220" t="s">
        <v>98</v>
      </c>
      <c r="AO66" s="6">
        <f t="shared" si="13"/>
        <v>0</v>
      </c>
      <c r="AP66" s="6">
        <f t="shared" si="13"/>
        <v>150</v>
      </c>
      <c r="AQ66" s="220" t="s">
        <v>106</v>
      </c>
      <c r="AR66" s="6" t="str">
        <f t="shared" si="14"/>
        <v>BXX</v>
      </c>
      <c r="AS66" s="220" t="s">
        <v>1</v>
      </c>
      <c r="AT66" s="6" t="str">
        <f>$A$3&amp;".AI_XP"</f>
        <v>BXX_OVF1_FI1.AI_XP</v>
      </c>
      <c r="AU66" s="220" t="s">
        <v>1</v>
      </c>
      <c r="AV66" s="6" t="str">
        <f t="shared" si="15"/>
        <v>Sample Overflow Max Value Yesterday</v>
      </c>
      <c r="AW66" s="220">
        <v>0</v>
      </c>
      <c r="AX66" s="220">
        <v>0</v>
      </c>
      <c r="AY66" s="220">
        <v>0</v>
      </c>
      <c r="AZ66" s="220">
        <v>0</v>
      </c>
      <c r="BA66" s="220">
        <v>0</v>
      </c>
      <c r="BB66" s="220">
        <v>0</v>
      </c>
      <c r="BC66" s="220">
        <v>0</v>
      </c>
      <c r="BD66" s="220">
        <v>0</v>
      </c>
    </row>
    <row r="67" spans="1:56" s="220" customFormat="1" x14ac:dyDescent="0.25">
      <c r="A67" s="3" t="str">
        <f>$A$3&amp;"_"&amp;"AI_TD"</f>
        <v>BXX_OVF1_FI1_AI_TD</v>
      </c>
      <c r="B67" s="6" t="str">
        <f t="shared" si="10"/>
        <v>BXX_OVF1_FI1</v>
      </c>
      <c r="C67" s="6" t="str">
        <f>$C$3 &amp; " Total Today"</f>
        <v>Sample Overflow Total Today</v>
      </c>
      <c r="D67" s="4">
        <f t="shared" si="11"/>
        <v>27</v>
      </c>
      <c r="E67" s="220" t="s">
        <v>0</v>
      </c>
      <c r="F67" s="220" t="s">
        <v>1</v>
      </c>
      <c r="G67" s="220">
        <v>0</v>
      </c>
      <c r="H67" s="220" t="s">
        <v>0</v>
      </c>
      <c r="I67" s="220" t="s">
        <v>1</v>
      </c>
      <c r="J67" s="220">
        <v>0</v>
      </c>
      <c r="K67" s="220">
        <v>0</v>
      </c>
      <c r="L67" s="220" t="s">
        <v>488</v>
      </c>
      <c r="M67" s="6">
        <f t="shared" si="12"/>
        <v>0</v>
      </c>
      <c r="N67" s="2">
        <v>0</v>
      </c>
      <c r="O67" s="2">
        <v>20000</v>
      </c>
      <c r="P67" s="220">
        <v>0</v>
      </c>
      <c r="Q67" s="220">
        <v>1</v>
      </c>
      <c r="R67" s="220" t="s">
        <v>40</v>
      </c>
      <c r="S67" s="220">
        <v>0</v>
      </c>
      <c r="T67" s="220">
        <v>1</v>
      </c>
      <c r="U67" s="220" t="s">
        <v>40</v>
      </c>
      <c r="V67" s="220">
        <v>0</v>
      </c>
      <c r="W67" s="220">
        <v>1</v>
      </c>
      <c r="X67" s="220" t="s">
        <v>40</v>
      </c>
      <c r="Y67" s="220">
        <v>0</v>
      </c>
      <c r="Z67" s="220">
        <v>1</v>
      </c>
      <c r="AA67" s="220" t="s">
        <v>40</v>
      </c>
      <c r="AB67" s="220">
        <v>0</v>
      </c>
      <c r="AC67" s="220">
        <v>1</v>
      </c>
      <c r="AD67" s="220" t="s">
        <v>40</v>
      </c>
      <c r="AE67" s="220">
        <v>0</v>
      </c>
      <c r="AF67" s="220">
        <v>1</v>
      </c>
      <c r="AG67" s="220" t="s">
        <v>40</v>
      </c>
      <c r="AH67" s="220">
        <v>0</v>
      </c>
      <c r="AI67" s="220">
        <v>1</v>
      </c>
      <c r="AJ67" s="220">
        <v>0</v>
      </c>
      <c r="AK67" s="220" t="s">
        <v>40</v>
      </c>
      <c r="AL67" s="220">
        <v>0</v>
      </c>
      <c r="AM67" s="220">
        <v>1</v>
      </c>
      <c r="AN67" s="220" t="s">
        <v>98</v>
      </c>
      <c r="AO67" s="6">
        <f t="shared" si="13"/>
        <v>0</v>
      </c>
      <c r="AP67" s="6">
        <f t="shared" si="13"/>
        <v>20000</v>
      </c>
      <c r="AQ67" s="220" t="s">
        <v>106</v>
      </c>
      <c r="AR67" s="6" t="str">
        <f t="shared" si="14"/>
        <v>BXX</v>
      </c>
      <c r="AS67" s="220" t="s">
        <v>1</v>
      </c>
      <c r="AT67" s="6" t="str">
        <f>$A$3&amp;".AI_TD"</f>
        <v>BXX_OVF1_FI1.AI_TD</v>
      </c>
      <c r="AU67" s="220" t="s">
        <v>1</v>
      </c>
      <c r="AV67" s="6" t="str">
        <f t="shared" si="15"/>
        <v>Sample Overflow Total Today</v>
      </c>
      <c r="AW67" s="220">
        <v>0</v>
      </c>
      <c r="AX67" s="220">
        <v>0</v>
      </c>
      <c r="AY67" s="220">
        <v>0</v>
      </c>
      <c r="AZ67" s="220">
        <v>0</v>
      </c>
      <c r="BA67" s="220">
        <v>0</v>
      </c>
      <c r="BB67" s="220">
        <v>0</v>
      </c>
      <c r="BC67" s="220">
        <v>0</v>
      </c>
      <c r="BD67" s="220">
        <v>0</v>
      </c>
    </row>
    <row r="68" spans="1:56" s="220" customFormat="1" x14ac:dyDescent="0.25">
      <c r="A68" s="3" t="str">
        <f>$A$3&amp;"_"&amp;"AI_YT"</f>
        <v>BXX_OVF1_FI1_AI_YT</v>
      </c>
      <c r="B68" s="6" t="str">
        <f t="shared" si="10"/>
        <v>BXX_OVF1_FI1</v>
      </c>
      <c r="C68" s="6" t="str">
        <f>$C$3 &amp; " Total Yesterday"</f>
        <v>Sample Overflow Total Yesterday</v>
      </c>
      <c r="D68" s="4">
        <f t="shared" si="11"/>
        <v>31</v>
      </c>
      <c r="E68" s="220" t="s">
        <v>0</v>
      </c>
      <c r="F68" s="220" t="s">
        <v>1</v>
      </c>
      <c r="G68" s="220">
        <v>0</v>
      </c>
      <c r="H68" s="220" t="s">
        <v>0</v>
      </c>
      <c r="I68" s="220" t="s">
        <v>1</v>
      </c>
      <c r="J68" s="220">
        <v>0</v>
      </c>
      <c r="K68" s="220">
        <v>0</v>
      </c>
      <c r="L68" s="220" t="s">
        <v>488</v>
      </c>
      <c r="M68" s="6">
        <f t="shared" si="12"/>
        <v>0</v>
      </c>
      <c r="N68" s="6">
        <f>$N$67</f>
        <v>0</v>
      </c>
      <c r="O68" s="6">
        <f>$O$67</f>
        <v>20000</v>
      </c>
      <c r="P68" s="220">
        <v>0</v>
      </c>
      <c r="Q68" s="220">
        <v>1</v>
      </c>
      <c r="R68" s="220" t="s">
        <v>40</v>
      </c>
      <c r="S68" s="220">
        <v>0</v>
      </c>
      <c r="T68" s="220">
        <v>1</v>
      </c>
      <c r="U68" s="220" t="s">
        <v>40</v>
      </c>
      <c r="V68" s="220">
        <v>0</v>
      </c>
      <c r="W68" s="220">
        <v>1</v>
      </c>
      <c r="X68" s="220" t="s">
        <v>40</v>
      </c>
      <c r="Y68" s="220">
        <v>0</v>
      </c>
      <c r="Z68" s="220">
        <v>1</v>
      </c>
      <c r="AA68" s="220" t="s">
        <v>40</v>
      </c>
      <c r="AB68" s="220">
        <v>0</v>
      </c>
      <c r="AC68" s="220">
        <v>1</v>
      </c>
      <c r="AD68" s="220" t="s">
        <v>40</v>
      </c>
      <c r="AE68" s="220">
        <v>0</v>
      </c>
      <c r="AF68" s="220">
        <v>1</v>
      </c>
      <c r="AG68" s="220" t="s">
        <v>40</v>
      </c>
      <c r="AH68" s="220">
        <v>0</v>
      </c>
      <c r="AI68" s="220">
        <v>1</v>
      </c>
      <c r="AJ68" s="220">
        <v>0</v>
      </c>
      <c r="AK68" s="220" t="s">
        <v>40</v>
      </c>
      <c r="AL68" s="220">
        <v>0</v>
      </c>
      <c r="AM68" s="220">
        <v>1</v>
      </c>
      <c r="AN68" s="220" t="s">
        <v>98</v>
      </c>
      <c r="AO68" s="6">
        <f t="shared" si="13"/>
        <v>0</v>
      </c>
      <c r="AP68" s="6">
        <f t="shared" si="13"/>
        <v>20000</v>
      </c>
      <c r="AQ68" s="220" t="s">
        <v>106</v>
      </c>
      <c r="AR68" s="6" t="str">
        <f t="shared" si="14"/>
        <v>BXX</v>
      </c>
      <c r="AS68" s="220" t="s">
        <v>1</v>
      </c>
      <c r="AT68" s="6" t="str">
        <f>$A$3&amp;".AI_YT"</f>
        <v>BXX_OVF1_FI1.AI_YT</v>
      </c>
      <c r="AU68" s="220" t="s">
        <v>1</v>
      </c>
      <c r="AV68" s="6" t="str">
        <f t="shared" si="15"/>
        <v>Sample Overflow Total Yesterday</v>
      </c>
      <c r="AW68" s="220">
        <v>0</v>
      </c>
      <c r="AX68" s="220">
        <v>0</v>
      </c>
      <c r="AY68" s="220">
        <v>0</v>
      </c>
      <c r="AZ68" s="220">
        <v>0</v>
      </c>
      <c r="BA68" s="220">
        <v>0</v>
      </c>
      <c r="BB68" s="220">
        <v>0</v>
      </c>
      <c r="BC68" s="220">
        <v>0</v>
      </c>
      <c r="BD68" s="220">
        <v>0</v>
      </c>
    </row>
    <row r="69" spans="1:56" s="220" customFormat="1" x14ac:dyDescent="0.25">
      <c r="A69" s="3" t="str">
        <f>$A$3&amp;"_"&amp;"AI_AT"</f>
        <v>BXX_OVF1_FI1_AI_AT</v>
      </c>
      <c r="B69" s="6" t="str">
        <f t="shared" si="10"/>
        <v>BXX_OVF1_FI1</v>
      </c>
      <c r="C69" s="6" t="str">
        <f>$C$3 &amp; " Average"</f>
        <v>Sample Overflow Average</v>
      </c>
      <c r="D69" s="4">
        <f t="shared" si="11"/>
        <v>23</v>
      </c>
      <c r="E69" s="220" t="s">
        <v>1</v>
      </c>
      <c r="F69" s="220" t="s">
        <v>1</v>
      </c>
      <c r="G69" s="220">
        <v>0</v>
      </c>
      <c r="H69" s="220" t="s">
        <v>0</v>
      </c>
      <c r="I69" s="220" t="s">
        <v>1</v>
      </c>
      <c r="J69" s="220">
        <v>0</v>
      </c>
      <c r="K69" s="220">
        <v>0</v>
      </c>
      <c r="L69" s="220" t="s">
        <v>110</v>
      </c>
      <c r="M69" s="6">
        <f t="shared" si="12"/>
        <v>0</v>
      </c>
      <c r="N69" s="6">
        <f t="shared" ref="N69:N76" si="18">$N$62</f>
        <v>0</v>
      </c>
      <c r="O69" s="6">
        <f t="shared" ref="O69:O76" si="19">$O$62</f>
        <v>150</v>
      </c>
      <c r="P69" s="220">
        <v>0</v>
      </c>
      <c r="Q69" s="220">
        <v>0</v>
      </c>
      <c r="R69" s="220" t="s">
        <v>40</v>
      </c>
      <c r="S69" s="220">
        <v>0</v>
      </c>
      <c r="T69" s="220">
        <v>1</v>
      </c>
      <c r="U69" s="220" t="s">
        <v>40</v>
      </c>
      <c r="V69" s="220">
        <v>0</v>
      </c>
      <c r="W69" s="220">
        <v>1</v>
      </c>
      <c r="X69" s="220" t="s">
        <v>40</v>
      </c>
      <c r="Y69" s="220">
        <v>0</v>
      </c>
      <c r="Z69" s="220">
        <v>1</v>
      </c>
      <c r="AA69" s="220" t="s">
        <v>40</v>
      </c>
      <c r="AB69" s="220">
        <v>0</v>
      </c>
      <c r="AC69" s="220">
        <v>1</v>
      </c>
      <c r="AD69" s="220" t="s">
        <v>40</v>
      </c>
      <c r="AE69" s="220">
        <v>0</v>
      </c>
      <c r="AF69" s="220">
        <v>1</v>
      </c>
      <c r="AG69" s="220" t="s">
        <v>40</v>
      </c>
      <c r="AH69" s="220">
        <v>0</v>
      </c>
      <c r="AI69" s="220">
        <v>1</v>
      </c>
      <c r="AJ69" s="220">
        <v>0</v>
      </c>
      <c r="AK69" s="220" t="s">
        <v>40</v>
      </c>
      <c r="AL69" s="220">
        <v>0</v>
      </c>
      <c r="AM69" s="220">
        <v>1</v>
      </c>
      <c r="AN69" s="220" t="s">
        <v>98</v>
      </c>
      <c r="AO69" s="6">
        <f t="shared" si="13"/>
        <v>0</v>
      </c>
      <c r="AP69" s="6">
        <f t="shared" si="13"/>
        <v>150</v>
      </c>
      <c r="AQ69" s="220" t="s">
        <v>106</v>
      </c>
      <c r="AR69" s="6" t="str">
        <f t="shared" si="14"/>
        <v>BXX</v>
      </c>
      <c r="AS69" s="220" t="s">
        <v>1</v>
      </c>
      <c r="AT69" s="6" t="str">
        <f>$A$3&amp;".AI_AT"</f>
        <v>BXX_OVF1_FI1.AI_AT</v>
      </c>
      <c r="AU69" s="220" t="s">
        <v>1</v>
      </c>
      <c r="AV69" s="6" t="str">
        <f t="shared" si="15"/>
        <v>Sample Overflow Average</v>
      </c>
      <c r="AW69" s="220">
        <v>0</v>
      </c>
      <c r="AX69" s="220">
        <v>0</v>
      </c>
      <c r="AY69" s="220">
        <v>0</v>
      </c>
      <c r="AZ69" s="220">
        <v>0</v>
      </c>
      <c r="BA69" s="220">
        <v>0</v>
      </c>
      <c r="BB69" s="220">
        <v>0</v>
      </c>
      <c r="BC69" s="220">
        <v>0</v>
      </c>
      <c r="BD69" s="220">
        <v>0</v>
      </c>
    </row>
    <row r="70" spans="1:56" x14ac:dyDescent="0.25">
      <c r="A70" s="6" t="str">
        <f>$A$3&amp;"_"&amp;"AO_XM"</f>
        <v>BXX_OVF1_FI1_AO_XM</v>
      </c>
      <c r="B70" s="6" t="str">
        <f t="shared" si="10"/>
        <v>BXX_OVF1_FI1</v>
      </c>
      <c r="C70" s="6" t="str">
        <f>$C$3 &amp; " Span Setpoint"</f>
        <v>Sample Overflow Span Setpoint</v>
      </c>
      <c r="D70" s="4">
        <f t="shared" si="11"/>
        <v>29</v>
      </c>
      <c r="E70" s="248" t="s">
        <v>1</v>
      </c>
      <c r="F70" s="248" t="s">
        <v>1</v>
      </c>
      <c r="G70" s="248">
        <v>0</v>
      </c>
      <c r="H70" s="248" t="s">
        <v>0</v>
      </c>
      <c r="I70" s="248" t="s">
        <v>1</v>
      </c>
      <c r="J70" s="248">
        <v>0</v>
      </c>
      <c r="K70" s="248">
        <v>0</v>
      </c>
      <c r="L70" s="220" t="s">
        <v>110</v>
      </c>
      <c r="M70" s="6">
        <f t="shared" si="12"/>
        <v>0</v>
      </c>
      <c r="N70" s="6">
        <f t="shared" si="18"/>
        <v>0</v>
      </c>
      <c r="O70" s="6">
        <f t="shared" si="19"/>
        <v>150</v>
      </c>
      <c r="P70" s="248">
        <v>0</v>
      </c>
      <c r="Q70" s="248">
        <v>0</v>
      </c>
      <c r="R70" s="248" t="s">
        <v>40</v>
      </c>
      <c r="S70" s="248">
        <v>0</v>
      </c>
      <c r="T70" s="248">
        <v>1</v>
      </c>
      <c r="U70" s="248" t="s">
        <v>40</v>
      </c>
      <c r="V70" s="248">
        <v>0</v>
      </c>
      <c r="W70" s="248">
        <v>1</v>
      </c>
      <c r="X70" s="248" t="s">
        <v>40</v>
      </c>
      <c r="Y70" s="248">
        <v>0</v>
      </c>
      <c r="Z70" s="248">
        <v>1</v>
      </c>
      <c r="AA70" s="248" t="s">
        <v>40</v>
      </c>
      <c r="AB70" s="248">
        <v>0</v>
      </c>
      <c r="AC70" s="248">
        <v>1</v>
      </c>
      <c r="AD70" s="248" t="s">
        <v>40</v>
      </c>
      <c r="AE70" s="248">
        <v>0</v>
      </c>
      <c r="AF70" s="248">
        <v>1</v>
      </c>
      <c r="AG70" s="248" t="s">
        <v>40</v>
      </c>
      <c r="AH70" s="248">
        <v>0</v>
      </c>
      <c r="AI70" s="248">
        <v>1</v>
      </c>
      <c r="AJ70" s="248">
        <v>0</v>
      </c>
      <c r="AK70" s="248" t="s">
        <v>40</v>
      </c>
      <c r="AL70" s="248">
        <v>0</v>
      </c>
      <c r="AM70" s="248">
        <v>1</v>
      </c>
      <c r="AN70" s="248" t="s">
        <v>98</v>
      </c>
      <c r="AO70" s="6">
        <f t="shared" si="13"/>
        <v>0</v>
      </c>
      <c r="AP70" s="6">
        <f t="shared" si="13"/>
        <v>150</v>
      </c>
      <c r="AQ70" s="248" t="s">
        <v>106</v>
      </c>
      <c r="AR70" s="6" t="str">
        <f t="shared" si="14"/>
        <v>BXX</v>
      </c>
      <c r="AS70" s="248" t="s">
        <v>1</v>
      </c>
      <c r="AT70" s="6" t="str">
        <f>$A$3&amp;".AO_XM"</f>
        <v>BXX_OVF1_FI1.AO_XM</v>
      </c>
      <c r="AU70" s="248" t="s">
        <v>1</v>
      </c>
      <c r="AV70" s="6" t="str">
        <f t="shared" si="15"/>
        <v>Sample Overflow Span Setpoint</v>
      </c>
      <c r="AW70" s="248">
        <v>0</v>
      </c>
      <c r="AX70" s="248">
        <v>0</v>
      </c>
      <c r="AY70" s="248">
        <v>0</v>
      </c>
      <c r="AZ70" s="248">
        <v>0</v>
      </c>
      <c r="BA70" s="248">
        <v>0</v>
      </c>
      <c r="BB70" s="248">
        <v>0</v>
      </c>
      <c r="BC70" s="248">
        <v>0</v>
      </c>
      <c r="BD70" s="248">
        <v>0</v>
      </c>
    </row>
    <row r="71" spans="1:56" x14ac:dyDescent="0.25">
      <c r="A71" s="6" t="str">
        <f>$A$3&amp;"_"&amp;"AO_LO"</f>
        <v>BXX_OVF1_FI1_AO_LO</v>
      </c>
      <c r="B71" s="6" t="str">
        <f t="shared" si="10"/>
        <v>BXX_OVF1_FI1</v>
      </c>
      <c r="C71" s="6" t="str">
        <f>$C$3 &amp; " Low Setpoint"</f>
        <v>Sample Overflow Low Setpoint</v>
      </c>
      <c r="D71" s="4">
        <f t="shared" si="11"/>
        <v>28</v>
      </c>
      <c r="E71" s="248" t="s">
        <v>1</v>
      </c>
      <c r="F71" s="248" t="s">
        <v>0</v>
      </c>
      <c r="G71" s="2">
        <v>600</v>
      </c>
      <c r="H71" s="248" t="s">
        <v>0</v>
      </c>
      <c r="I71" s="248" t="s">
        <v>1</v>
      </c>
      <c r="J71" s="248">
        <v>0</v>
      </c>
      <c r="K71" s="248">
        <v>0</v>
      </c>
      <c r="L71" s="220" t="s">
        <v>110</v>
      </c>
      <c r="M71" s="6">
        <f t="shared" si="12"/>
        <v>0</v>
      </c>
      <c r="N71" s="6">
        <f t="shared" si="18"/>
        <v>0</v>
      </c>
      <c r="O71" s="6">
        <f t="shared" si="19"/>
        <v>150</v>
      </c>
      <c r="P71" s="248">
        <v>0</v>
      </c>
      <c r="Q71" s="248">
        <v>0</v>
      </c>
      <c r="R71" s="248" t="s">
        <v>40</v>
      </c>
      <c r="S71" s="248">
        <v>0</v>
      </c>
      <c r="T71" s="248">
        <v>1</v>
      </c>
      <c r="U71" s="248" t="s">
        <v>40</v>
      </c>
      <c r="V71" s="248">
        <v>0</v>
      </c>
      <c r="W71" s="248">
        <v>1</v>
      </c>
      <c r="X71" s="248" t="s">
        <v>40</v>
      </c>
      <c r="Y71" s="248">
        <v>0</v>
      </c>
      <c r="Z71" s="248">
        <v>1</v>
      </c>
      <c r="AA71" s="248" t="s">
        <v>40</v>
      </c>
      <c r="AB71" s="248">
        <v>0</v>
      </c>
      <c r="AC71" s="248">
        <v>1</v>
      </c>
      <c r="AD71" s="248" t="s">
        <v>40</v>
      </c>
      <c r="AE71" s="248">
        <v>0</v>
      </c>
      <c r="AF71" s="248">
        <v>1</v>
      </c>
      <c r="AG71" s="248" t="s">
        <v>40</v>
      </c>
      <c r="AH71" s="248">
        <v>0</v>
      </c>
      <c r="AI71" s="248">
        <v>1</v>
      </c>
      <c r="AJ71" s="248">
        <v>0</v>
      </c>
      <c r="AK71" s="248" t="s">
        <v>40</v>
      </c>
      <c r="AL71" s="248">
        <v>0</v>
      </c>
      <c r="AM71" s="248">
        <v>1</v>
      </c>
      <c r="AN71" s="248" t="s">
        <v>98</v>
      </c>
      <c r="AO71" s="6">
        <f t="shared" si="13"/>
        <v>0</v>
      </c>
      <c r="AP71" s="6">
        <f t="shared" si="13"/>
        <v>150</v>
      </c>
      <c r="AQ71" s="248" t="s">
        <v>106</v>
      </c>
      <c r="AR71" s="6" t="str">
        <f t="shared" si="14"/>
        <v>BXX</v>
      </c>
      <c r="AS71" s="248" t="s">
        <v>1</v>
      </c>
      <c r="AT71" s="6" t="str">
        <f>$A$3&amp;".AO_LO"</f>
        <v>BXX_OVF1_FI1.AO_LO</v>
      </c>
      <c r="AU71" s="248" t="s">
        <v>1</v>
      </c>
      <c r="AV71" s="6" t="str">
        <f t="shared" si="15"/>
        <v>Sample Overflow Low Setpoint</v>
      </c>
      <c r="AW71" s="248">
        <v>0</v>
      </c>
      <c r="AX71" s="248">
        <v>0</v>
      </c>
      <c r="AY71" s="248">
        <v>0</v>
      </c>
      <c r="AZ71" s="248">
        <v>0</v>
      </c>
      <c r="BA71" s="248">
        <v>0</v>
      </c>
      <c r="BB71" s="248">
        <v>0</v>
      </c>
      <c r="BC71" s="248">
        <v>0</v>
      </c>
      <c r="BD71" s="248">
        <v>0</v>
      </c>
    </row>
    <row r="72" spans="1:56" x14ac:dyDescent="0.25">
      <c r="A72" s="6" t="str">
        <f>$A$3&amp;"_"&amp;"AO_HH"</f>
        <v>BXX_OVF1_FI1_AO_HH</v>
      </c>
      <c r="B72" s="6" t="str">
        <f t="shared" si="10"/>
        <v>BXX_OVF1_FI1</v>
      </c>
      <c r="C72" s="6" t="str">
        <f>$C$3 &amp; " HIHI Setpoint"</f>
        <v>Sample Overflow HIHI Setpoint</v>
      </c>
      <c r="D72" s="4">
        <f t="shared" si="11"/>
        <v>29</v>
      </c>
      <c r="E72" s="248" t="s">
        <v>1</v>
      </c>
      <c r="F72" s="248" t="s">
        <v>0</v>
      </c>
      <c r="G72" s="2">
        <v>600</v>
      </c>
      <c r="H72" s="248" t="s">
        <v>0</v>
      </c>
      <c r="I72" s="248" t="s">
        <v>1</v>
      </c>
      <c r="J72" s="248">
        <v>0</v>
      </c>
      <c r="K72" s="248">
        <v>0</v>
      </c>
      <c r="L72" s="220" t="s">
        <v>110</v>
      </c>
      <c r="M72" s="6">
        <f t="shared" si="12"/>
        <v>0</v>
      </c>
      <c r="N72" s="6">
        <f t="shared" si="18"/>
        <v>0</v>
      </c>
      <c r="O72" s="6">
        <f t="shared" si="19"/>
        <v>150</v>
      </c>
      <c r="P72" s="248">
        <v>0</v>
      </c>
      <c r="Q72" s="248">
        <v>0</v>
      </c>
      <c r="R72" s="248" t="s">
        <v>40</v>
      </c>
      <c r="S72" s="248">
        <v>0</v>
      </c>
      <c r="T72" s="248">
        <v>1</v>
      </c>
      <c r="U72" s="248" t="s">
        <v>40</v>
      </c>
      <c r="V72" s="248">
        <v>0</v>
      </c>
      <c r="W72" s="248">
        <v>1</v>
      </c>
      <c r="X72" s="248" t="s">
        <v>40</v>
      </c>
      <c r="Y72" s="248">
        <v>0</v>
      </c>
      <c r="Z72" s="248">
        <v>1</v>
      </c>
      <c r="AA72" s="248" t="s">
        <v>40</v>
      </c>
      <c r="AB72" s="248">
        <v>0</v>
      </c>
      <c r="AC72" s="248">
        <v>1</v>
      </c>
      <c r="AD72" s="248" t="s">
        <v>40</v>
      </c>
      <c r="AE72" s="248">
        <v>0</v>
      </c>
      <c r="AF72" s="248">
        <v>1</v>
      </c>
      <c r="AG72" s="248" t="s">
        <v>40</v>
      </c>
      <c r="AH72" s="248">
        <v>0</v>
      </c>
      <c r="AI72" s="248">
        <v>1</v>
      </c>
      <c r="AJ72" s="248">
        <v>0</v>
      </c>
      <c r="AK72" s="248" t="s">
        <v>40</v>
      </c>
      <c r="AL72" s="248">
        <v>0</v>
      </c>
      <c r="AM72" s="248">
        <v>1</v>
      </c>
      <c r="AN72" s="248" t="s">
        <v>98</v>
      </c>
      <c r="AO72" s="6">
        <f t="shared" si="13"/>
        <v>0</v>
      </c>
      <c r="AP72" s="6">
        <f t="shared" si="13"/>
        <v>150</v>
      </c>
      <c r="AQ72" s="248" t="s">
        <v>106</v>
      </c>
      <c r="AR72" s="6" t="str">
        <f t="shared" si="14"/>
        <v>BXX</v>
      </c>
      <c r="AS72" s="248" t="s">
        <v>1</v>
      </c>
      <c r="AT72" s="6" t="str">
        <f>$A$3&amp;".AO_HH"</f>
        <v>BXX_OVF1_FI1.AO_HH</v>
      </c>
      <c r="AU72" s="248" t="s">
        <v>1</v>
      </c>
      <c r="AV72" s="6" t="str">
        <f t="shared" si="15"/>
        <v>Sample Overflow HIHI Setpoint</v>
      </c>
      <c r="AW72" s="248">
        <v>0</v>
      </c>
      <c r="AX72" s="248">
        <v>0</v>
      </c>
      <c r="AY72" s="248">
        <v>0</v>
      </c>
      <c r="AZ72" s="248">
        <v>0</v>
      </c>
      <c r="BA72" s="248">
        <v>0</v>
      </c>
      <c r="BB72" s="248">
        <v>0</v>
      </c>
      <c r="BC72" s="248">
        <v>0</v>
      </c>
      <c r="BD72" s="248">
        <v>0</v>
      </c>
    </row>
    <row r="73" spans="1:56" x14ac:dyDescent="0.25">
      <c r="A73" s="3" t="str">
        <f>$A$3&amp;"_"&amp;"E2_CV"</f>
        <v>BXX_OVF1_FI1_E2_CV</v>
      </c>
      <c r="B73" s="6" t="str">
        <f t="shared" si="10"/>
        <v>BXX_OVF1_FI1</v>
      </c>
      <c r="C73" s="6" t="str">
        <f>$C$3 &amp; " Units 2"</f>
        <v>Sample Overflow Units 2</v>
      </c>
      <c r="D73" s="4">
        <f t="shared" si="11"/>
        <v>23</v>
      </c>
      <c r="E73" s="248" t="s">
        <v>1</v>
      </c>
      <c r="F73" s="248" t="s">
        <v>1</v>
      </c>
      <c r="G73" s="248">
        <v>0</v>
      </c>
      <c r="H73" s="248" t="s">
        <v>0</v>
      </c>
      <c r="I73" s="248" t="s">
        <v>1</v>
      </c>
      <c r="J73" s="248">
        <v>0</v>
      </c>
      <c r="K73" s="248">
        <v>0</v>
      </c>
      <c r="L73" s="2" t="s">
        <v>99</v>
      </c>
      <c r="M73" s="6">
        <f t="shared" si="12"/>
        <v>0</v>
      </c>
      <c r="N73" s="2">
        <v>0</v>
      </c>
      <c r="O73" s="2">
        <v>100</v>
      </c>
      <c r="P73" s="248">
        <v>0</v>
      </c>
      <c r="Q73" s="248">
        <v>0</v>
      </c>
      <c r="R73" s="248" t="s">
        <v>40</v>
      </c>
      <c r="S73" s="248">
        <v>0</v>
      </c>
      <c r="T73" s="248">
        <v>1</v>
      </c>
      <c r="U73" s="248" t="s">
        <v>40</v>
      </c>
      <c r="V73" s="248">
        <v>0</v>
      </c>
      <c r="W73" s="248">
        <v>1</v>
      </c>
      <c r="X73" s="248" t="s">
        <v>40</v>
      </c>
      <c r="Y73" s="248">
        <v>0</v>
      </c>
      <c r="Z73" s="248">
        <v>1</v>
      </c>
      <c r="AA73" s="248" t="s">
        <v>40</v>
      </c>
      <c r="AB73" s="248">
        <v>0</v>
      </c>
      <c r="AC73" s="248">
        <v>1</v>
      </c>
      <c r="AD73" s="248" t="s">
        <v>40</v>
      </c>
      <c r="AE73" s="248">
        <v>0</v>
      </c>
      <c r="AF73" s="248">
        <v>1</v>
      </c>
      <c r="AG73" s="248" t="s">
        <v>40</v>
      </c>
      <c r="AH73" s="248">
        <v>0</v>
      </c>
      <c r="AI73" s="248">
        <v>1</v>
      </c>
      <c r="AJ73" s="248">
        <v>0</v>
      </c>
      <c r="AK73" s="248" t="s">
        <v>40</v>
      </c>
      <c r="AL73" s="248">
        <v>0</v>
      </c>
      <c r="AM73" s="248">
        <v>1</v>
      </c>
      <c r="AN73" s="248" t="s">
        <v>98</v>
      </c>
      <c r="AO73" s="6">
        <f t="shared" si="13"/>
        <v>0</v>
      </c>
      <c r="AP73" s="6">
        <f t="shared" si="13"/>
        <v>100</v>
      </c>
      <c r="AQ73" s="248" t="s">
        <v>106</v>
      </c>
      <c r="AR73" s="6" t="str">
        <f t="shared" si="14"/>
        <v>BXX</v>
      </c>
      <c r="AS73" s="248" t="s">
        <v>1</v>
      </c>
      <c r="AT73" s="6" t="str">
        <f>$A$3&amp;".E2_CV"</f>
        <v>BXX_OVF1_FI1.E2_CV</v>
      </c>
      <c r="AU73" s="248" t="s">
        <v>1</v>
      </c>
      <c r="AV73" s="6" t="str">
        <f t="shared" si="15"/>
        <v>Sample Overflow Units 2</v>
      </c>
      <c r="AW73" s="248">
        <v>0</v>
      </c>
      <c r="AX73" s="248">
        <v>0</v>
      </c>
      <c r="AY73" s="248">
        <v>0</v>
      </c>
      <c r="AZ73" s="248">
        <v>0</v>
      </c>
      <c r="BA73" s="248">
        <v>0</v>
      </c>
      <c r="BB73" s="248">
        <v>0</v>
      </c>
      <c r="BC73" s="248">
        <v>0</v>
      </c>
      <c r="BD73" s="248">
        <v>0</v>
      </c>
    </row>
    <row r="74" spans="1:56" x14ac:dyDescent="0.25">
      <c r="A74" s="6" t="str">
        <f>$A$3&amp;"_"&amp;"AO_HI"</f>
        <v>BXX_OVF1_FI1_AO_HI</v>
      </c>
      <c r="B74" s="6" t="str">
        <f t="shared" si="10"/>
        <v>BXX_OVF1_FI1</v>
      </c>
      <c r="C74" s="6" t="str">
        <f>$C$3 &amp; " High Setpoint"</f>
        <v>Sample Overflow High Setpoint</v>
      </c>
      <c r="D74" s="4">
        <f t="shared" si="11"/>
        <v>29</v>
      </c>
      <c r="E74" s="248" t="s">
        <v>1</v>
      </c>
      <c r="F74" s="248" t="s">
        <v>0</v>
      </c>
      <c r="G74" s="2">
        <v>600</v>
      </c>
      <c r="H74" s="248" t="s">
        <v>0</v>
      </c>
      <c r="I74" s="248" t="s">
        <v>1</v>
      </c>
      <c r="J74" s="248">
        <v>0</v>
      </c>
      <c r="K74" s="248">
        <v>0</v>
      </c>
      <c r="L74" s="220" t="s">
        <v>110</v>
      </c>
      <c r="M74" s="6">
        <f t="shared" si="12"/>
        <v>0</v>
      </c>
      <c r="N74" s="6">
        <f t="shared" si="18"/>
        <v>0</v>
      </c>
      <c r="O74" s="6">
        <f t="shared" si="19"/>
        <v>150</v>
      </c>
      <c r="P74" s="248">
        <v>0</v>
      </c>
      <c r="Q74" s="248">
        <v>0</v>
      </c>
      <c r="R74" s="248" t="s">
        <v>40</v>
      </c>
      <c r="S74" s="248">
        <v>0</v>
      </c>
      <c r="T74" s="248">
        <v>1</v>
      </c>
      <c r="U74" s="248" t="s">
        <v>40</v>
      </c>
      <c r="V74" s="248">
        <v>0</v>
      </c>
      <c r="W74" s="248">
        <v>1</v>
      </c>
      <c r="X74" s="248" t="s">
        <v>40</v>
      </c>
      <c r="Y74" s="248">
        <v>0</v>
      </c>
      <c r="Z74" s="248">
        <v>1</v>
      </c>
      <c r="AA74" s="248" t="s">
        <v>40</v>
      </c>
      <c r="AB74" s="248">
        <v>0</v>
      </c>
      <c r="AC74" s="248">
        <v>1</v>
      </c>
      <c r="AD74" s="248" t="s">
        <v>40</v>
      </c>
      <c r="AE74" s="248">
        <v>0</v>
      </c>
      <c r="AF74" s="248">
        <v>1</v>
      </c>
      <c r="AG74" s="248" t="s">
        <v>40</v>
      </c>
      <c r="AH74" s="248">
        <v>0</v>
      </c>
      <c r="AI74" s="248">
        <v>1</v>
      </c>
      <c r="AJ74" s="248">
        <v>0</v>
      </c>
      <c r="AK74" s="248" t="s">
        <v>40</v>
      </c>
      <c r="AL74" s="248">
        <v>0</v>
      </c>
      <c r="AM74" s="248">
        <v>1</v>
      </c>
      <c r="AN74" s="248" t="s">
        <v>98</v>
      </c>
      <c r="AO74" s="6">
        <f t="shared" si="13"/>
        <v>0</v>
      </c>
      <c r="AP74" s="6">
        <f t="shared" si="13"/>
        <v>150</v>
      </c>
      <c r="AQ74" s="248" t="s">
        <v>106</v>
      </c>
      <c r="AR74" s="6" t="str">
        <f t="shared" si="14"/>
        <v>BXX</v>
      </c>
      <c r="AS74" s="248" t="s">
        <v>1</v>
      </c>
      <c r="AT74" s="6" t="str">
        <f>$A$3&amp;".AO_HI"</f>
        <v>BXX_OVF1_FI1.AO_HI</v>
      </c>
      <c r="AU74" s="248" t="s">
        <v>1</v>
      </c>
      <c r="AV74" s="6" t="str">
        <f t="shared" si="15"/>
        <v>Sample Overflow High Setpoint</v>
      </c>
      <c r="AW74" s="248">
        <v>0</v>
      </c>
      <c r="AX74" s="248">
        <v>0</v>
      </c>
      <c r="AY74" s="248">
        <v>0</v>
      </c>
      <c r="AZ74" s="248">
        <v>0</v>
      </c>
      <c r="BA74" s="248">
        <v>0</v>
      </c>
      <c r="BB74" s="248">
        <v>0</v>
      </c>
      <c r="BC74" s="248">
        <v>0</v>
      </c>
      <c r="BD74" s="248">
        <v>0</v>
      </c>
    </row>
    <row r="75" spans="1:56" x14ac:dyDescent="0.25">
      <c r="A75" s="6" t="str">
        <f>$A$3&amp;"_"&amp;"AO_SV"</f>
        <v>BXX_OVF1_FI1_AO_SV</v>
      </c>
      <c r="B75" s="6" t="str">
        <f t="shared" si="10"/>
        <v>BXX_OVF1_FI1</v>
      </c>
      <c r="C75" s="6" t="str">
        <f>$C$3 &amp; " Override Value"</f>
        <v>Sample Overflow Override Value</v>
      </c>
      <c r="D75" s="4">
        <f t="shared" si="11"/>
        <v>30</v>
      </c>
      <c r="E75" s="248" t="s">
        <v>1</v>
      </c>
      <c r="F75" s="248" t="s">
        <v>0</v>
      </c>
      <c r="G75" s="2">
        <v>700</v>
      </c>
      <c r="H75" s="248" t="s">
        <v>0</v>
      </c>
      <c r="I75" s="248" t="s">
        <v>1</v>
      </c>
      <c r="J75" s="248">
        <v>0</v>
      </c>
      <c r="K75" s="248">
        <v>0</v>
      </c>
      <c r="L75" s="220" t="s">
        <v>110</v>
      </c>
      <c r="M75" s="6">
        <f t="shared" si="12"/>
        <v>0</v>
      </c>
      <c r="N75" s="6">
        <f t="shared" si="18"/>
        <v>0</v>
      </c>
      <c r="O75" s="6">
        <f t="shared" si="19"/>
        <v>150</v>
      </c>
      <c r="P75" s="248">
        <v>0</v>
      </c>
      <c r="Q75" s="248">
        <v>0</v>
      </c>
      <c r="R75" s="248" t="s">
        <v>40</v>
      </c>
      <c r="S75" s="248">
        <v>0</v>
      </c>
      <c r="T75" s="248">
        <v>1</v>
      </c>
      <c r="U75" s="248" t="s">
        <v>40</v>
      </c>
      <c r="V75" s="248">
        <v>0</v>
      </c>
      <c r="W75" s="248">
        <v>1</v>
      </c>
      <c r="X75" s="248" t="s">
        <v>40</v>
      </c>
      <c r="Y75" s="248">
        <v>0</v>
      </c>
      <c r="Z75" s="248">
        <v>1</v>
      </c>
      <c r="AA75" s="248" t="s">
        <v>40</v>
      </c>
      <c r="AB75" s="248">
        <v>0</v>
      </c>
      <c r="AC75" s="248">
        <v>1</v>
      </c>
      <c r="AD75" s="248" t="s">
        <v>40</v>
      </c>
      <c r="AE75" s="248">
        <v>0</v>
      </c>
      <c r="AF75" s="248">
        <v>1</v>
      </c>
      <c r="AG75" s="248" t="s">
        <v>40</v>
      </c>
      <c r="AH75" s="248">
        <v>0</v>
      </c>
      <c r="AI75" s="248">
        <v>1</v>
      </c>
      <c r="AJ75" s="248">
        <v>0</v>
      </c>
      <c r="AK75" s="248" t="s">
        <v>40</v>
      </c>
      <c r="AL75" s="248">
        <v>0</v>
      </c>
      <c r="AM75" s="248">
        <v>1</v>
      </c>
      <c r="AN75" s="248" t="s">
        <v>98</v>
      </c>
      <c r="AO75" s="6">
        <f t="shared" si="13"/>
        <v>0</v>
      </c>
      <c r="AP75" s="6">
        <f t="shared" si="13"/>
        <v>150</v>
      </c>
      <c r="AQ75" s="248" t="s">
        <v>106</v>
      </c>
      <c r="AR75" s="6" t="str">
        <f t="shared" si="14"/>
        <v>BXX</v>
      </c>
      <c r="AS75" s="248" t="s">
        <v>1</v>
      </c>
      <c r="AT75" s="6" t="str">
        <f>$A$3&amp;".AO_SV"</f>
        <v>BXX_OVF1_FI1.AO_SV</v>
      </c>
      <c r="AU75" s="248" t="s">
        <v>1</v>
      </c>
      <c r="AV75" s="6" t="str">
        <f t="shared" si="15"/>
        <v>Sample Overflow Override Value</v>
      </c>
      <c r="AW75" s="248">
        <v>0</v>
      </c>
      <c r="AX75" s="248">
        <v>0</v>
      </c>
      <c r="AY75" s="248">
        <v>0</v>
      </c>
      <c r="AZ75" s="248">
        <v>0</v>
      </c>
      <c r="BA75" s="248">
        <v>0</v>
      </c>
      <c r="BB75" s="248">
        <v>0</v>
      </c>
      <c r="BC75" s="248">
        <v>0</v>
      </c>
      <c r="BD75" s="248">
        <v>0</v>
      </c>
    </row>
    <row r="76" spans="1:56" x14ac:dyDescent="0.25">
      <c r="A76" s="6" t="str">
        <f>$A$3&amp;"_"&amp;"AO_EM"</f>
        <v>BXX_OVF1_FI1_AO_EM</v>
      </c>
      <c r="B76" s="6" t="str">
        <f t="shared" si="10"/>
        <v>BXX_OVF1_FI1</v>
      </c>
      <c r="C76" s="6" t="str">
        <f>$C$3 &amp; " Zero Setpoint"</f>
        <v>Sample Overflow Zero Setpoint</v>
      </c>
      <c r="D76" s="4">
        <f t="shared" si="11"/>
        <v>29</v>
      </c>
      <c r="E76" s="248" t="s">
        <v>1</v>
      </c>
      <c r="F76" s="248" t="s">
        <v>1</v>
      </c>
      <c r="G76" s="248">
        <v>0</v>
      </c>
      <c r="H76" s="248" t="s">
        <v>0</v>
      </c>
      <c r="I76" s="248" t="s">
        <v>1</v>
      </c>
      <c r="J76" s="248">
        <v>0</v>
      </c>
      <c r="K76" s="248">
        <v>0</v>
      </c>
      <c r="L76" s="220" t="s">
        <v>110</v>
      </c>
      <c r="M76" s="6">
        <f t="shared" si="12"/>
        <v>0</v>
      </c>
      <c r="N76" s="6">
        <f t="shared" si="18"/>
        <v>0</v>
      </c>
      <c r="O76" s="6">
        <f t="shared" si="19"/>
        <v>150</v>
      </c>
      <c r="P76" s="248">
        <v>0</v>
      </c>
      <c r="Q76" s="248">
        <v>0</v>
      </c>
      <c r="R76" s="248" t="s">
        <v>40</v>
      </c>
      <c r="S76" s="248">
        <v>0</v>
      </c>
      <c r="T76" s="248">
        <v>1</v>
      </c>
      <c r="U76" s="248" t="s">
        <v>40</v>
      </c>
      <c r="V76" s="248">
        <v>0</v>
      </c>
      <c r="W76" s="248">
        <v>1</v>
      </c>
      <c r="X76" s="248" t="s">
        <v>40</v>
      </c>
      <c r="Y76" s="248">
        <v>0</v>
      </c>
      <c r="Z76" s="248">
        <v>1</v>
      </c>
      <c r="AA76" s="248" t="s">
        <v>40</v>
      </c>
      <c r="AB76" s="248">
        <v>0</v>
      </c>
      <c r="AC76" s="248">
        <v>1</v>
      </c>
      <c r="AD76" s="248" t="s">
        <v>40</v>
      </c>
      <c r="AE76" s="248">
        <v>0</v>
      </c>
      <c r="AF76" s="248">
        <v>1</v>
      </c>
      <c r="AG76" s="248" t="s">
        <v>40</v>
      </c>
      <c r="AH76" s="248">
        <v>0</v>
      </c>
      <c r="AI76" s="248">
        <v>1</v>
      </c>
      <c r="AJ76" s="248">
        <v>0</v>
      </c>
      <c r="AK76" s="248" t="s">
        <v>40</v>
      </c>
      <c r="AL76" s="248">
        <v>0</v>
      </c>
      <c r="AM76" s="248">
        <v>1</v>
      </c>
      <c r="AN76" s="248" t="s">
        <v>98</v>
      </c>
      <c r="AO76" s="6">
        <f t="shared" si="13"/>
        <v>0</v>
      </c>
      <c r="AP76" s="6">
        <f t="shared" si="13"/>
        <v>150</v>
      </c>
      <c r="AQ76" s="248" t="s">
        <v>106</v>
      </c>
      <c r="AR76" s="6" t="str">
        <f t="shared" si="14"/>
        <v>BXX</v>
      </c>
      <c r="AS76" s="248" t="s">
        <v>1</v>
      </c>
      <c r="AT76" s="6" t="str">
        <f>$A$3&amp;".AO_EM"</f>
        <v>BXX_OVF1_FI1.AO_EM</v>
      </c>
      <c r="AU76" s="248" t="s">
        <v>1</v>
      </c>
      <c r="AV76" s="6" t="str">
        <f t="shared" si="15"/>
        <v>Sample Overflow Zero Setpoint</v>
      </c>
      <c r="AW76" s="248">
        <v>0</v>
      </c>
      <c r="AX76" s="248">
        <v>0</v>
      </c>
      <c r="AY76" s="248">
        <v>0</v>
      </c>
      <c r="AZ76" s="248">
        <v>0</v>
      </c>
      <c r="BA76" s="248">
        <v>0</v>
      </c>
      <c r="BB76" s="248">
        <v>0</v>
      </c>
      <c r="BC76" s="248">
        <v>0</v>
      </c>
      <c r="BD76" s="248">
        <v>0</v>
      </c>
    </row>
    <row r="77" spans="1:56" x14ac:dyDescent="0.25">
      <c r="A77" s="3" t="str">
        <f>$A$3&amp;"_"&amp;"E3_CV"</f>
        <v>BXX_OVF1_FI1_E3_CV</v>
      </c>
      <c r="B77" s="6" t="str">
        <f t="shared" si="10"/>
        <v>BXX_OVF1_FI1</v>
      </c>
      <c r="C77" s="6" t="str">
        <f>$C$3 &amp; " Units 3"</f>
        <v>Sample Overflow Units 3</v>
      </c>
      <c r="D77" s="4">
        <f t="shared" si="11"/>
        <v>23</v>
      </c>
      <c r="E77" s="248" t="s">
        <v>1</v>
      </c>
      <c r="F77" s="248" t="s">
        <v>1</v>
      </c>
      <c r="G77" s="248">
        <v>0</v>
      </c>
      <c r="H77" s="248" t="s">
        <v>0</v>
      </c>
      <c r="I77" s="248" t="s">
        <v>1</v>
      </c>
      <c r="J77" s="248">
        <v>0</v>
      </c>
      <c r="K77" s="248">
        <v>0</v>
      </c>
      <c r="L77" s="2" t="s">
        <v>108</v>
      </c>
      <c r="M77" s="6">
        <f t="shared" si="12"/>
        <v>4</v>
      </c>
      <c r="N77" s="2">
        <v>4</v>
      </c>
      <c r="O77" s="2">
        <v>20</v>
      </c>
      <c r="P77" s="248">
        <v>0</v>
      </c>
      <c r="Q77" s="248">
        <v>0</v>
      </c>
      <c r="R77" s="248" t="s">
        <v>40</v>
      </c>
      <c r="S77" s="248">
        <v>0</v>
      </c>
      <c r="T77" s="248">
        <v>1</v>
      </c>
      <c r="U77" s="248" t="s">
        <v>40</v>
      </c>
      <c r="V77" s="248">
        <v>0</v>
      </c>
      <c r="W77" s="248">
        <v>1</v>
      </c>
      <c r="X77" s="248" t="s">
        <v>40</v>
      </c>
      <c r="Y77" s="248">
        <v>0</v>
      </c>
      <c r="Z77" s="248">
        <v>1</v>
      </c>
      <c r="AA77" s="248" t="s">
        <v>40</v>
      </c>
      <c r="AB77" s="248">
        <v>0</v>
      </c>
      <c r="AC77" s="248">
        <v>1</v>
      </c>
      <c r="AD77" s="248" t="s">
        <v>40</v>
      </c>
      <c r="AE77" s="248">
        <v>0</v>
      </c>
      <c r="AF77" s="248">
        <v>1</v>
      </c>
      <c r="AG77" s="248" t="s">
        <v>40</v>
      </c>
      <c r="AH77" s="248">
        <v>0</v>
      </c>
      <c r="AI77" s="248">
        <v>1</v>
      </c>
      <c r="AJ77" s="248">
        <v>0</v>
      </c>
      <c r="AK77" s="248" t="s">
        <v>40</v>
      </c>
      <c r="AL77" s="248">
        <v>0</v>
      </c>
      <c r="AM77" s="248">
        <v>1</v>
      </c>
      <c r="AN77" s="248" t="s">
        <v>98</v>
      </c>
      <c r="AO77" s="6">
        <f t="shared" si="13"/>
        <v>4</v>
      </c>
      <c r="AP77" s="6">
        <f t="shared" si="13"/>
        <v>20</v>
      </c>
      <c r="AQ77" s="248" t="s">
        <v>106</v>
      </c>
      <c r="AR77" s="6" t="str">
        <f t="shared" si="14"/>
        <v>BXX</v>
      </c>
      <c r="AS77" s="248" t="s">
        <v>1</v>
      </c>
      <c r="AT77" s="6" t="str">
        <f>$A$3&amp;".E3_CV"</f>
        <v>BXX_OVF1_FI1.E3_CV</v>
      </c>
      <c r="AU77" s="248" t="s">
        <v>1</v>
      </c>
      <c r="AV77" s="6" t="str">
        <f t="shared" si="15"/>
        <v>Sample Overflow Units 3</v>
      </c>
      <c r="AW77" s="248">
        <v>0</v>
      </c>
      <c r="AX77" s="248">
        <v>0</v>
      </c>
      <c r="AY77" s="248">
        <v>0</v>
      </c>
      <c r="AZ77" s="248">
        <v>0</v>
      </c>
      <c r="BA77" s="248">
        <v>0</v>
      </c>
      <c r="BB77" s="248">
        <v>0</v>
      </c>
      <c r="BC77" s="248">
        <v>0</v>
      </c>
      <c r="BD77" s="248">
        <v>0</v>
      </c>
    </row>
    <row r="78" spans="1:56" x14ac:dyDescent="0.25">
      <c r="A78" s="6" t="str">
        <f>$A$3&amp;"_"&amp;"SN_HH"</f>
        <v>BXX_OVF1_FI1_SN_HH</v>
      </c>
      <c r="B78" s="6" t="str">
        <f t="shared" si="10"/>
        <v>BXX_OVF1_FI1</v>
      </c>
      <c r="C78" s="6" t="str">
        <f>$C$3 &amp; " HIHI Alarm Delay"</f>
        <v>Sample Overflow HIHI Alarm Delay</v>
      </c>
      <c r="D78" s="4">
        <f t="shared" si="11"/>
        <v>32</v>
      </c>
      <c r="E78" s="248" t="s">
        <v>1</v>
      </c>
      <c r="F78" s="248" t="s">
        <v>0</v>
      </c>
      <c r="G78" s="2">
        <v>600</v>
      </c>
      <c r="H78" s="248" t="s">
        <v>0</v>
      </c>
      <c r="I78" s="248" t="s">
        <v>1</v>
      </c>
      <c r="J78" s="248">
        <v>0</v>
      </c>
      <c r="K78" s="248">
        <v>0</v>
      </c>
      <c r="L78" s="248" t="s">
        <v>109</v>
      </c>
      <c r="M78" s="6">
        <f t="shared" si="12"/>
        <v>0</v>
      </c>
      <c r="N78" s="248">
        <v>0</v>
      </c>
      <c r="O78" s="248">
        <v>999</v>
      </c>
      <c r="P78" s="248">
        <v>0</v>
      </c>
      <c r="Q78" s="248">
        <v>0</v>
      </c>
      <c r="R78" s="248" t="s">
        <v>40</v>
      </c>
      <c r="S78" s="248">
        <v>0</v>
      </c>
      <c r="T78" s="248">
        <v>1</v>
      </c>
      <c r="U78" s="248" t="s">
        <v>40</v>
      </c>
      <c r="V78" s="248">
        <v>0</v>
      </c>
      <c r="W78" s="248">
        <v>1</v>
      </c>
      <c r="X78" s="248" t="s">
        <v>40</v>
      </c>
      <c r="Y78" s="248">
        <v>0</v>
      </c>
      <c r="Z78" s="248">
        <v>1</v>
      </c>
      <c r="AA78" s="248" t="s">
        <v>40</v>
      </c>
      <c r="AB78" s="248">
        <v>0</v>
      </c>
      <c r="AC78" s="248">
        <v>1</v>
      </c>
      <c r="AD78" s="248" t="s">
        <v>40</v>
      </c>
      <c r="AE78" s="248">
        <v>0</v>
      </c>
      <c r="AF78" s="248">
        <v>1</v>
      </c>
      <c r="AG78" s="248" t="s">
        <v>40</v>
      </c>
      <c r="AH78" s="248">
        <v>0</v>
      </c>
      <c r="AI78" s="248">
        <v>1</v>
      </c>
      <c r="AJ78" s="248">
        <v>0</v>
      </c>
      <c r="AK78" s="248" t="s">
        <v>40</v>
      </c>
      <c r="AL78" s="248">
        <v>0</v>
      </c>
      <c r="AM78" s="248">
        <v>1</v>
      </c>
      <c r="AN78" s="248" t="s">
        <v>98</v>
      </c>
      <c r="AO78" s="6">
        <f t="shared" si="13"/>
        <v>0</v>
      </c>
      <c r="AP78" s="6">
        <f t="shared" si="13"/>
        <v>999</v>
      </c>
      <c r="AQ78" s="248" t="s">
        <v>106</v>
      </c>
      <c r="AR78" s="6" t="str">
        <f t="shared" si="14"/>
        <v>BXX</v>
      </c>
      <c r="AS78" s="248" t="s">
        <v>1</v>
      </c>
      <c r="AT78" s="6" t="str">
        <f>$A$3&amp;".SN_HH"</f>
        <v>BXX_OVF1_FI1.SN_HH</v>
      </c>
      <c r="AU78" s="248" t="s">
        <v>1</v>
      </c>
      <c r="AV78" s="6" t="str">
        <f t="shared" si="15"/>
        <v>Sample Overflow HIHI Alarm Delay</v>
      </c>
      <c r="AW78" s="248">
        <v>0</v>
      </c>
      <c r="AX78" s="248">
        <v>0</v>
      </c>
      <c r="AY78" s="248">
        <v>0</v>
      </c>
      <c r="AZ78" s="248">
        <v>0</v>
      </c>
      <c r="BA78" s="248">
        <v>0</v>
      </c>
      <c r="BB78" s="248">
        <v>0</v>
      </c>
      <c r="BC78" s="248">
        <v>0</v>
      </c>
      <c r="BD78" s="248">
        <v>0</v>
      </c>
    </row>
    <row r="79" spans="1:56" x14ac:dyDescent="0.25">
      <c r="A79" s="6" t="str">
        <f>$A$3&amp;"_"&amp;"SN_LO"</f>
        <v>BXX_OVF1_FI1_SN_LO</v>
      </c>
      <c r="B79" s="6" t="str">
        <f t="shared" si="10"/>
        <v>BXX_OVF1_FI1</v>
      </c>
      <c r="C79" s="6" t="str">
        <f>$C$3 &amp; " Low Alarm Delay"</f>
        <v>Sample Overflow Low Alarm Delay</v>
      </c>
      <c r="D79" s="4">
        <f t="shared" si="11"/>
        <v>31</v>
      </c>
      <c r="E79" s="248" t="s">
        <v>1</v>
      </c>
      <c r="F79" s="248" t="s">
        <v>0</v>
      </c>
      <c r="G79" s="2">
        <v>600</v>
      </c>
      <c r="H79" s="248" t="s">
        <v>0</v>
      </c>
      <c r="I79" s="248" t="s">
        <v>1</v>
      </c>
      <c r="J79" s="248">
        <v>0</v>
      </c>
      <c r="K79" s="248">
        <v>0</v>
      </c>
      <c r="L79" s="248" t="s">
        <v>109</v>
      </c>
      <c r="M79" s="6">
        <f t="shared" si="12"/>
        <v>0</v>
      </c>
      <c r="N79" s="248">
        <v>0</v>
      </c>
      <c r="O79" s="248">
        <v>999</v>
      </c>
      <c r="P79" s="248">
        <v>0</v>
      </c>
      <c r="Q79" s="248">
        <v>0</v>
      </c>
      <c r="R79" s="248" t="s">
        <v>40</v>
      </c>
      <c r="S79" s="248">
        <v>0</v>
      </c>
      <c r="T79" s="248">
        <v>1</v>
      </c>
      <c r="U79" s="248" t="s">
        <v>40</v>
      </c>
      <c r="V79" s="248">
        <v>0</v>
      </c>
      <c r="W79" s="248">
        <v>1</v>
      </c>
      <c r="X79" s="248" t="s">
        <v>40</v>
      </c>
      <c r="Y79" s="248">
        <v>0</v>
      </c>
      <c r="Z79" s="248">
        <v>1</v>
      </c>
      <c r="AA79" s="248" t="s">
        <v>40</v>
      </c>
      <c r="AB79" s="248">
        <v>0</v>
      </c>
      <c r="AC79" s="248">
        <v>1</v>
      </c>
      <c r="AD79" s="248" t="s">
        <v>40</v>
      </c>
      <c r="AE79" s="248">
        <v>0</v>
      </c>
      <c r="AF79" s="248">
        <v>1</v>
      </c>
      <c r="AG79" s="248" t="s">
        <v>40</v>
      </c>
      <c r="AH79" s="248">
        <v>0</v>
      </c>
      <c r="AI79" s="248">
        <v>1</v>
      </c>
      <c r="AJ79" s="248">
        <v>0</v>
      </c>
      <c r="AK79" s="248" t="s">
        <v>40</v>
      </c>
      <c r="AL79" s="248">
        <v>0</v>
      </c>
      <c r="AM79" s="248">
        <v>1</v>
      </c>
      <c r="AN79" s="248" t="s">
        <v>98</v>
      </c>
      <c r="AO79" s="6">
        <f t="shared" si="13"/>
        <v>0</v>
      </c>
      <c r="AP79" s="6">
        <f t="shared" si="13"/>
        <v>999</v>
      </c>
      <c r="AQ79" s="248" t="s">
        <v>106</v>
      </c>
      <c r="AR79" s="6" t="str">
        <f t="shared" si="14"/>
        <v>BXX</v>
      </c>
      <c r="AS79" s="248" t="s">
        <v>1</v>
      </c>
      <c r="AT79" s="6" t="str">
        <f>$A$3&amp;".SN_LO"</f>
        <v>BXX_OVF1_FI1.SN_LO</v>
      </c>
      <c r="AU79" s="248" t="s">
        <v>1</v>
      </c>
      <c r="AV79" s="6" t="str">
        <f t="shared" si="15"/>
        <v>Sample Overflow Low Alarm Delay</v>
      </c>
      <c r="AW79" s="248">
        <v>0</v>
      </c>
      <c r="AX79" s="248">
        <v>0</v>
      </c>
      <c r="AY79" s="248">
        <v>0</v>
      </c>
      <c r="AZ79" s="248">
        <v>0</v>
      </c>
      <c r="BA79" s="248">
        <v>0</v>
      </c>
      <c r="BB79" s="248">
        <v>0</v>
      </c>
      <c r="BC79" s="248">
        <v>0</v>
      </c>
      <c r="BD79" s="248">
        <v>0</v>
      </c>
    </row>
    <row r="80" spans="1:56" x14ac:dyDescent="0.25">
      <c r="A80" s="6" t="str">
        <f>$A$3&amp;"_"&amp;"AO_LL"</f>
        <v>BXX_OVF1_FI1_AO_LL</v>
      </c>
      <c r="B80" s="6" t="str">
        <f t="shared" si="10"/>
        <v>BXX_OVF1_FI1</v>
      </c>
      <c r="C80" s="6" t="str">
        <f>$C$3 &amp; " LOLO Setpoint"</f>
        <v>Sample Overflow LOLO Setpoint</v>
      </c>
      <c r="D80" s="4">
        <f t="shared" si="11"/>
        <v>29</v>
      </c>
      <c r="E80" s="248" t="s">
        <v>1</v>
      </c>
      <c r="F80" s="248" t="s">
        <v>0</v>
      </c>
      <c r="G80" s="2">
        <v>600</v>
      </c>
      <c r="H80" s="248" t="s">
        <v>0</v>
      </c>
      <c r="I80" s="248" t="s">
        <v>1</v>
      </c>
      <c r="J80" s="248">
        <v>0</v>
      </c>
      <c r="K80" s="248">
        <v>0</v>
      </c>
      <c r="L80" s="220" t="s">
        <v>110</v>
      </c>
      <c r="M80" s="6">
        <f t="shared" si="12"/>
        <v>0</v>
      </c>
      <c r="N80" s="6">
        <f t="shared" ref="N80" si="20">$N$62</f>
        <v>0</v>
      </c>
      <c r="O80" s="6">
        <f t="shared" ref="O80" si="21">$O$62</f>
        <v>150</v>
      </c>
      <c r="P80" s="248">
        <v>0</v>
      </c>
      <c r="Q80" s="248">
        <v>0</v>
      </c>
      <c r="R80" s="248" t="s">
        <v>40</v>
      </c>
      <c r="S80" s="248">
        <v>0</v>
      </c>
      <c r="T80" s="248">
        <v>1</v>
      </c>
      <c r="U80" s="248" t="s">
        <v>40</v>
      </c>
      <c r="V80" s="248">
        <v>0</v>
      </c>
      <c r="W80" s="248">
        <v>1</v>
      </c>
      <c r="X80" s="248" t="s">
        <v>40</v>
      </c>
      <c r="Y80" s="248">
        <v>0</v>
      </c>
      <c r="Z80" s="248">
        <v>1</v>
      </c>
      <c r="AA80" s="248" t="s">
        <v>40</v>
      </c>
      <c r="AB80" s="248">
        <v>0</v>
      </c>
      <c r="AC80" s="248">
        <v>1</v>
      </c>
      <c r="AD80" s="248" t="s">
        <v>40</v>
      </c>
      <c r="AE80" s="248">
        <v>0</v>
      </c>
      <c r="AF80" s="248">
        <v>1</v>
      </c>
      <c r="AG80" s="248" t="s">
        <v>40</v>
      </c>
      <c r="AH80" s="248">
        <v>0</v>
      </c>
      <c r="AI80" s="248">
        <v>1</v>
      </c>
      <c r="AJ80" s="248">
        <v>0</v>
      </c>
      <c r="AK80" s="248" t="s">
        <v>40</v>
      </c>
      <c r="AL80" s="248">
        <v>0</v>
      </c>
      <c r="AM80" s="248">
        <v>1</v>
      </c>
      <c r="AN80" s="248" t="s">
        <v>98</v>
      </c>
      <c r="AO80" s="6">
        <f t="shared" si="13"/>
        <v>0</v>
      </c>
      <c r="AP80" s="6">
        <f t="shared" si="13"/>
        <v>150</v>
      </c>
      <c r="AQ80" s="248" t="s">
        <v>106</v>
      </c>
      <c r="AR80" s="6" t="str">
        <f t="shared" si="14"/>
        <v>BXX</v>
      </c>
      <c r="AS80" s="248" t="s">
        <v>1</v>
      </c>
      <c r="AT80" s="6" t="str">
        <f>$A$3&amp;".AO_LL"</f>
        <v>BXX_OVF1_FI1.AO_LL</v>
      </c>
      <c r="AU80" s="248" t="s">
        <v>1</v>
      </c>
      <c r="AV80" s="6" t="str">
        <f t="shared" si="15"/>
        <v>Sample Overflow LOLO Setpoint</v>
      </c>
      <c r="AW80" s="248">
        <v>0</v>
      </c>
      <c r="AX80" s="248">
        <v>0</v>
      </c>
      <c r="AY80" s="248">
        <v>0</v>
      </c>
      <c r="AZ80" s="248">
        <v>0</v>
      </c>
      <c r="BA80" s="248">
        <v>0</v>
      </c>
      <c r="BB80" s="248">
        <v>0</v>
      </c>
      <c r="BC80" s="248">
        <v>0</v>
      </c>
      <c r="BD80" s="248">
        <v>0</v>
      </c>
    </row>
    <row r="81" spans="1:56" s="259" customFormat="1" x14ac:dyDescent="0.25">
      <c r="A81" s="6" t="str">
        <f>(LEFT($A$3,8))&amp;"_"&amp;"TL1_AI_CV"</f>
        <v>BXX_OVF1_TL1_AI_CV</v>
      </c>
      <c r="B81" s="6" t="str">
        <f t="shared" si="10"/>
        <v>BXX_OVF1_FI1</v>
      </c>
      <c r="C81" s="6" t="str">
        <f>$C$3 &amp; " Event Volume"</f>
        <v>Sample Overflow Event Volume</v>
      </c>
      <c r="D81" s="4">
        <f t="shared" si="11"/>
        <v>28</v>
      </c>
      <c r="E81" s="260" t="s">
        <v>0</v>
      </c>
      <c r="F81" s="260" t="s">
        <v>1</v>
      </c>
      <c r="G81" s="260">
        <v>0</v>
      </c>
      <c r="H81" s="260" t="s">
        <v>0</v>
      </c>
      <c r="I81" s="260" t="s">
        <v>1</v>
      </c>
      <c r="J81" s="260">
        <v>0</v>
      </c>
      <c r="K81" s="260">
        <v>0</v>
      </c>
      <c r="L81" s="260" t="s">
        <v>488</v>
      </c>
      <c r="M81" s="260">
        <v>0</v>
      </c>
      <c r="N81" s="260">
        <v>0</v>
      </c>
      <c r="O81" s="260">
        <v>1000000</v>
      </c>
      <c r="P81" s="260">
        <v>0</v>
      </c>
      <c r="Q81" s="260">
        <v>1</v>
      </c>
      <c r="R81" s="260" t="s">
        <v>40</v>
      </c>
      <c r="S81" s="260">
        <v>0</v>
      </c>
      <c r="T81" s="260">
        <v>1</v>
      </c>
      <c r="U81" s="260" t="s">
        <v>40</v>
      </c>
      <c r="V81" s="260">
        <v>0</v>
      </c>
      <c r="W81" s="260">
        <v>1</v>
      </c>
      <c r="X81" s="260" t="s">
        <v>40</v>
      </c>
      <c r="Y81" s="260">
        <v>0</v>
      </c>
      <c r="Z81" s="260">
        <v>1</v>
      </c>
      <c r="AA81" s="260" t="s">
        <v>40</v>
      </c>
      <c r="AB81" s="260">
        <v>0</v>
      </c>
      <c r="AC81" s="260">
        <v>1</v>
      </c>
      <c r="AD81" s="260" t="s">
        <v>40</v>
      </c>
      <c r="AE81" s="260">
        <v>0</v>
      </c>
      <c r="AF81" s="260">
        <v>1</v>
      </c>
      <c r="AG81" s="260" t="s">
        <v>40</v>
      </c>
      <c r="AH81" s="260">
        <v>0</v>
      </c>
      <c r="AI81" s="260">
        <v>1</v>
      </c>
      <c r="AJ81" s="260">
        <v>0</v>
      </c>
      <c r="AK81" s="260" t="s">
        <v>40</v>
      </c>
      <c r="AL81" s="260">
        <v>0</v>
      </c>
      <c r="AM81" s="260">
        <v>1</v>
      </c>
      <c r="AN81" s="260" t="s">
        <v>98</v>
      </c>
      <c r="AO81" s="260">
        <v>0</v>
      </c>
      <c r="AP81" s="260">
        <v>1000000</v>
      </c>
      <c r="AQ81" s="260" t="s">
        <v>106</v>
      </c>
      <c r="AR81" s="6" t="str">
        <f t="shared" si="14"/>
        <v>BXX</v>
      </c>
      <c r="AS81" s="260" t="s">
        <v>1</v>
      </c>
      <c r="AT81" s="6" t="str">
        <f>(LEFT($A$3,8))&amp;"_"&amp;"TL1.AI_CV"</f>
        <v>BXX_OVF1_TL1.AI_CV</v>
      </c>
      <c r="AU81" s="260" t="s">
        <v>0</v>
      </c>
      <c r="AV81" s="6" t="str">
        <f t="shared" si="15"/>
        <v>Sample Overflow Event Volume</v>
      </c>
      <c r="AW81" s="260">
        <v>0</v>
      </c>
      <c r="AX81" s="260">
        <v>0</v>
      </c>
      <c r="AY81" s="260">
        <v>0</v>
      </c>
      <c r="AZ81" s="260">
        <v>0</v>
      </c>
      <c r="BA81" s="260">
        <v>0</v>
      </c>
      <c r="BB81" s="260">
        <v>0</v>
      </c>
      <c r="BC81" s="260">
        <v>0</v>
      </c>
      <c r="BD81" s="260">
        <v>0</v>
      </c>
    </row>
    <row r="82" spans="1:56" x14ac:dyDescent="0.25">
      <c r="A82" s="248" t="s">
        <v>112</v>
      </c>
      <c r="B82" s="248" t="s">
        <v>4</v>
      </c>
      <c r="C82" s="248" t="s">
        <v>5</v>
      </c>
      <c r="D82" s="4">
        <f t="shared" si="11"/>
        <v>7</v>
      </c>
      <c r="E82" s="248" t="s">
        <v>30</v>
      </c>
      <c r="F82" s="248" t="s">
        <v>6</v>
      </c>
      <c r="G82" s="248" t="s">
        <v>7</v>
      </c>
      <c r="H82" s="248" t="s">
        <v>31</v>
      </c>
      <c r="I82" s="248" t="s">
        <v>113</v>
      </c>
      <c r="J82" s="248" t="s">
        <v>114</v>
      </c>
      <c r="K82" s="248" t="s">
        <v>37</v>
      </c>
      <c r="L82" s="248" t="s">
        <v>39</v>
      </c>
    </row>
    <row r="83" spans="1:56" x14ac:dyDescent="0.25">
      <c r="A83" s="6" t="str">
        <f>$A$3&amp;"_"&amp;"DI_NM"</f>
        <v>BXX_OVF1_FI1_DI_NM</v>
      </c>
      <c r="B83" s="6" t="str">
        <f t="shared" si="10"/>
        <v>BXX_OVF1_FI1</v>
      </c>
      <c r="C83" s="6" t="str">
        <f t="shared" si="10"/>
        <v>BXX_OVF1_FI1</v>
      </c>
      <c r="D83" s="4">
        <f t="shared" si="11"/>
        <v>12</v>
      </c>
      <c r="E83" s="248" t="s">
        <v>1</v>
      </c>
      <c r="F83" s="248" t="s">
        <v>1</v>
      </c>
      <c r="G83" s="248">
        <v>0</v>
      </c>
      <c r="H83" s="248" t="s">
        <v>0</v>
      </c>
      <c r="I83" s="248">
        <v>24</v>
      </c>
      <c r="J83" s="248" t="s">
        <v>26</v>
      </c>
      <c r="K83" s="248" t="s">
        <v>26</v>
      </c>
      <c r="L83" s="248" t="s">
        <v>0</v>
      </c>
    </row>
    <row r="84" spans="1:56" x14ac:dyDescent="0.25">
      <c r="A84" s="248" t="s">
        <v>207</v>
      </c>
      <c r="B84" s="248" t="s">
        <v>144</v>
      </c>
      <c r="C84" s="248" t="s">
        <v>208</v>
      </c>
      <c r="D84" s="4">
        <f t="shared" si="11"/>
        <v>20</v>
      </c>
      <c r="E84" s="248" t="s">
        <v>1</v>
      </c>
      <c r="F84" s="248" t="s">
        <v>1</v>
      </c>
      <c r="G84" s="248">
        <v>0</v>
      </c>
      <c r="H84" s="248" t="s">
        <v>1</v>
      </c>
      <c r="I84" s="248">
        <v>131</v>
      </c>
    </row>
    <row r="85" spans="1:56" x14ac:dyDescent="0.25">
      <c r="A85" s="248" t="s">
        <v>792</v>
      </c>
      <c r="B85" s="248" t="s">
        <v>144</v>
      </c>
      <c r="C85" s="248" t="s">
        <v>221</v>
      </c>
      <c r="D85" s="4">
        <f t="shared" si="11"/>
        <v>32</v>
      </c>
      <c r="E85" s="248" t="s">
        <v>1</v>
      </c>
      <c r="F85" s="248" t="s">
        <v>1</v>
      </c>
      <c r="G85" s="248">
        <v>0</v>
      </c>
      <c r="H85" s="248" t="s">
        <v>1</v>
      </c>
      <c r="I85" s="248">
        <v>131</v>
      </c>
    </row>
    <row r="86" spans="1:56" x14ac:dyDescent="0.25">
      <c r="A86" s="248" t="s">
        <v>115</v>
      </c>
      <c r="B86" s="248" t="s">
        <v>4</v>
      </c>
      <c r="C86" s="248" t="s">
        <v>5</v>
      </c>
      <c r="E86" s="248" t="s">
        <v>30</v>
      </c>
      <c r="F86" s="248" t="s">
        <v>6</v>
      </c>
      <c r="G86" s="248" t="s">
        <v>7</v>
      </c>
      <c r="H86" s="248" t="s">
        <v>31</v>
      </c>
      <c r="I86" s="248" t="s">
        <v>113</v>
      </c>
      <c r="J86" s="248" t="s">
        <v>114</v>
      </c>
      <c r="K86" s="248" t="s">
        <v>45</v>
      </c>
      <c r="L86" s="248" t="s">
        <v>46</v>
      </c>
      <c r="M86" s="248" t="s">
        <v>47</v>
      </c>
      <c r="N86" s="248" t="s">
        <v>48</v>
      </c>
      <c r="O86" s="248" t="s">
        <v>37</v>
      </c>
      <c r="P86" s="248" t="s">
        <v>39</v>
      </c>
    </row>
    <row r="87" spans="1:56" x14ac:dyDescent="0.25">
      <c r="A87" s="3" t="str">
        <f>$A$3&amp;"_"&amp;"PB_HH_RN"</f>
        <v>BXX_OVF1_FI1_PB_HH_RN</v>
      </c>
      <c r="B87" s="6" t="str">
        <f>$A$3</f>
        <v>BXX_OVF1_FI1</v>
      </c>
      <c r="C87" s="6" t="str">
        <f>$C$3 &amp; " HIHI Alarm Disabled Reason"</f>
        <v>Sample Overflow HIHI Alarm Disabled Reason</v>
      </c>
      <c r="D87" s="4">
        <f t="shared" si="11"/>
        <v>42</v>
      </c>
      <c r="E87" s="248" t="s">
        <v>1</v>
      </c>
      <c r="F87" s="248" t="s">
        <v>1</v>
      </c>
      <c r="G87" s="248">
        <v>0</v>
      </c>
      <c r="H87" s="248" t="s">
        <v>0</v>
      </c>
      <c r="I87" s="248">
        <v>131</v>
      </c>
      <c r="J87" s="248" t="s">
        <v>123</v>
      </c>
      <c r="K87" s="2" t="s">
        <v>124</v>
      </c>
      <c r="L87" s="248" t="s">
        <v>0</v>
      </c>
      <c r="M87" s="6" t="str">
        <f>A87</f>
        <v>BXX_OVF1_FI1_PB_HH_RN</v>
      </c>
      <c r="N87" s="248" t="s">
        <v>1</v>
      </c>
      <c r="O87" s="6" t="str">
        <f>C87</f>
        <v>Sample Overflow HIHI Alarm Disabled Reason</v>
      </c>
    </row>
    <row r="88" spans="1:56" x14ac:dyDescent="0.25">
      <c r="A88" s="3" t="str">
        <f>$A$3&amp;"_"&amp;"PB_HI_RN"</f>
        <v>BXX_OVF1_FI1_PB_HI_RN</v>
      </c>
      <c r="B88" s="6" t="str">
        <f t="shared" ref="B88:B92" si="22">$A$3</f>
        <v>BXX_OVF1_FI1</v>
      </c>
      <c r="C88" s="6" t="str">
        <f>$C$3 &amp; " High Alarm Disabled Reason"</f>
        <v>Sample Overflow High Alarm Disabled Reason</v>
      </c>
      <c r="D88" s="4">
        <f t="shared" si="11"/>
        <v>42</v>
      </c>
      <c r="E88" s="248" t="s">
        <v>1</v>
      </c>
      <c r="F88" s="248" t="s">
        <v>1</v>
      </c>
      <c r="G88" s="248">
        <v>0</v>
      </c>
      <c r="H88" s="248" t="s">
        <v>0</v>
      </c>
      <c r="I88" s="248">
        <v>131</v>
      </c>
      <c r="J88" s="248" t="s">
        <v>123</v>
      </c>
      <c r="K88" s="6" t="str">
        <f>$K$87</f>
        <v>BXXCPU01_1</v>
      </c>
      <c r="L88" s="248" t="s">
        <v>0</v>
      </c>
      <c r="M88" s="6" t="str">
        <f t="shared" ref="M88:M92" si="23">A88</f>
        <v>BXX_OVF1_FI1_PB_HI_RN</v>
      </c>
      <c r="N88" s="248" t="s">
        <v>1</v>
      </c>
      <c r="O88" s="6" t="str">
        <f t="shared" ref="O88:O92" si="24">C88</f>
        <v>Sample Overflow High Alarm Disabled Reason</v>
      </c>
    </row>
    <row r="89" spans="1:56" x14ac:dyDescent="0.25">
      <c r="A89" s="3" t="str">
        <f>$A$3&amp;"_"&amp;"PB_LO_RN"</f>
        <v>BXX_OVF1_FI1_PB_LO_RN</v>
      </c>
      <c r="B89" s="6" t="str">
        <f t="shared" si="22"/>
        <v>BXX_OVF1_FI1</v>
      </c>
      <c r="C89" s="6" t="str">
        <f>$C$3 &amp; " Low Alarm Disabled Reason"</f>
        <v>Sample Overflow Low Alarm Disabled Reason</v>
      </c>
      <c r="D89" s="4">
        <f t="shared" si="11"/>
        <v>41</v>
      </c>
      <c r="E89" s="248" t="s">
        <v>1</v>
      </c>
      <c r="F89" s="248" t="s">
        <v>1</v>
      </c>
      <c r="G89" s="248">
        <v>0</v>
      </c>
      <c r="H89" s="248" t="s">
        <v>0</v>
      </c>
      <c r="I89" s="248">
        <v>131</v>
      </c>
      <c r="J89" s="248" t="s">
        <v>123</v>
      </c>
      <c r="K89" s="6" t="str">
        <f t="shared" ref="K89:K92" si="25">$K$87</f>
        <v>BXXCPU01_1</v>
      </c>
      <c r="L89" s="248" t="s">
        <v>0</v>
      </c>
      <c r="M89" s="6" t="str">
        <f t="shared" si="23"/>
        <v>BXX_OVF1_FI1_PB_LO_RN</v>
      </c>
      <c r="N89" s="248" t="s">
        <v>1</v>
      </c>
      <c r="O89" s="6" t="str">
        <f t="shared" si="24"/>
        <v>Sample Overflow Low Alarm Disabled Reason</v>
      </c>
    </row>
    <row r="90" spans="1:56" x14ac:dyDescent="0.25">
      <c r="A90" s="3" t="str">
        <f>$A$3&amp;"_"&amp;"PB_LL_RN"</f>
        <v>BXX_OVF1_FI1_PB_LL_RN</v>
      </c>
      <c r="B90" s="6" t="str">
        <f t="shared" si="22"/>
        <v>BXX_OVF1_FI1</v>
      </c>
      <c r="C90" s="6" t="str">
        <f>$C$3 &amp; " LOLO Alarm Disabled Reason"</f>
        <v>Sample Overflow LOLO Alarm Disabled Reason</v>
      </c>
      <c r="D90" s="4">
        <f t="shared" si="11"/>
        <v>42</v>
      </c>
      <c r="E90" s="248" t="s">
        <v>1</v>
      </c>
      <c r="F90" s="248" t="s">
        <v>1</v>
      </c>
      <c r="G90" s="248">
        <v>0</v>
      </c>
      <c r="H90" s="248" t="s">
        <v>0</v>
      </c>
      <c r="I90" s="248">
        <v>131</v>
      </c>
      <c r="J90" s="248" t="s">
        <v>123</v>
      </c>
      <c r="K90" s="6" t="str">
        <f t="shared" si="25"/>
        <v>BXXCPU01_1</v>
      </c>
      <c r="L90" s="248" t="s">
        <v>0</v>
      </c>
      <c r="M90" s="6" t="str">
        <f t="shared" si="23"/>
        <v>BXX_OVF1_FI1_PB_LL_RN</v>
      </c>
      <c r="N90" s="248" t="s">
        <v>1</v>
      </c>
      <c r="O90" s="6" t="str">
        <f t="shared" si="24"/>
        <v>Sample Overflow LOLO Alarm Disabled Reason</v>
      </c>
    </row>
    <row r="91" spans="1:56" x14ac:dyDescent="0.25">
      <c r="A91" s="3" t="str">
        <f>$A$3&amp;"_"&amp;"PB_ER_RN"</f>
        <v>BXX_OVF1_FI1_PB_ER_RN</v>
      </c>
      <c r="B91" s="6" t="str">
        <f t="shared" si="22"/>
        <v>BXX_OVF1_FI1</v>
      </c>
      <c r="C91" s="6" t="str">
        <f>$C$3 &amp; " Sig Error Alarm Dis Reason"</f>
        <v>Sample Overflow Sig Error Alarm Dis Reason</v>
      </c>
      <c r="D91" s="4">
        <f t="shared" si="11"/>
        <v>42</v>
      </c>
      <c r="E91" s="248" t="s">
        <v>1</v>
      </c>
      <c r="F91" s="248" t="s">
        <v>1</v>
      </c>
      <c r="G91" s="248">
        <v>0</v>
      </c>
      <c r="H91" s="248" t="s">
        <v>0</v>
      </c>
      <c r="I91" s="248">
        <v>131</v>
      </c>
      <c r="J91" s="248" t="s">
        <v>123</v>
      </c>
      <c r="K91" s="6" t="str">
        <f t="shared" si="25"/>
        <v>BXXCPU01_1</v>
      </c>
      <c r="L91" s="248" t="s">
        <v>0</v>
      </c>
      <c r="M91" s="6" t="str">
        <f t="shared" si="23"/>
        <v>BXX_OVF1_FI1_PB_ER_RN</v>
      </c>
      <c r="N91" s="248" t="s">
        <v>1</v>
      </c>
      <c r="O91" s="6" t="str">
        <f t="shared" si="24"/>
        <v>Sample Overflow Sig Error Alarm Dis Reason</v>
      </c>
    </row>
    <row r="92" spans="1:56" x14ac:dyDescent="0.25">
      <c r="A92" s="3" t="str">
        <f>$A$3&amp;"_"&amp;"PB_AE_RN"</f>
        <v>BXX_OVF1_FI1_PB_AE_RN</v>
      </c>
      <c r="B92" s="6" t="str">
        <f t="shared" si="22"/>
        <v>BXX_OVF1_FI1</v>
      </c>
      <c r="C92" s="6" t="str">
        <f>$C$3 &amp; " Alarms Disabled Reason"</f>
        <v>Sample Overflow Alarms Disabled Reason</v>
      </c>
      <c r="D92" s="4">
        <f>LEN(C92)</f>
        <v>38</v>
      </c>
      <c r="E92" s="248" t="s">
        <v>1</v>
      </c>
      <c r="F92" s="248" t="s">
        <v>1</v>
      </c>
      <c r="G92" s="248">
        <v>0</v>
      </c>
      <c r="H92" s="248" t="s">
        <v>0</v>
      </c>
      <c r="I92" s="248">
        <v>131</v>
      </c>
      <c r="J92" s="248" t="s">
        <v>123</v>
      </c>
      <c r="K92" s="6" t="str">
        <f t="shared" si="25"/>
        <v>BXXCPU01_1</v>
      </c>
      <c r="L92" s="248" t="s">
        <v>0</v>
      </c>
      <c r="M92" s="6" t="str">
        <f t="shared" si="23"/>
        <v>BXX_OVF1_FI1_PB_AE_RN</v>
      </c>
      <c r="N92" s="248" t="s">
        <v>1</v>
      </c>
      <c r="O92" s="6" t="str">
        <f t="shared" si="24"/>
        <v>Sample Overflow Alarms Disabled Reason</v>
      </c>
    </row>
    <row r="93" spans="1:56" x14ac:dyDescent="0.25">
      <c r="A93" s="248" t="s">
        <v>176</v>
      </c>
      <c r="B93" s="248" t="s">
        <v>4</v>
      </c>
      <c r="C93" s="248" t="s">
        <v>5</v>
      </c>
      <c r="D93" s="4">
        <f t="shared" si="11"/>
        <v>7</v>
      </c>
      <c r="E93" s="248" t="s">
        <v>6</v>
      </c>
      <c r="F93" s="248" t="s">
        <v>7</v>
      </c>
      <c r="G93" s="248" t="s">
        <v>31</v>
      </c>
      <c r="H93" s="248" t="s">
        <v>39</v>
      </c>
    </row>
    <row r="94" spans="1:56" x14ac:dyDescent="0.25">
      <c r="A94" s="248" t="s">
        <v>545</v>
      </c>
      <c r="B94" s="248" t="s">
        <v>144</v>
      </c>
      <c r="C94" s="248" t="s">
        <v>177</v>
      </c>
      <c r="D94" s="4">
        <f t="shared" si="11"/>
        <v>44</v>
      </c>
      <c r="E94" s="248" t="s">
        <v>1</v>
      </c>
      <c r="F94" s="248">
        <v>0</v>
      </c>
      <c r="G94" s="248" t="s">
        <v>1</v>
      </c>
    </row>
    <row r="95" spans="1:56" x14ac:dyDescent="0.25">
      <c r="A95" s="248" t="s">
        <v>546</v>
      </c>
      <c r="B95" s="248" t="s">
        <v>144</v>
      </c>
      <c r="C95" s="248" t="s">
        <v>178</v>
      </c>
      <c r="D95" s="4">
        <f t="shared" si="11"/>
        <v>41</v>
      </c>
      <c r="E95" s="248" t="s">
        <v>1</v>
      </c>
      <c r="F95" s="248">
        <v>0</v>
      </c>
      <c r="G95" s="248" t="s">
        <v>1</v>
      </c>
    </row>
    <row r="96" spans="1:56" x14ac:dyDescent="0.25">
      <c r="A96" s="248" t="s">
        <v>547</v>
      </c>
      <c r="B96" s="248" t="s">
        <v>144</v>
      </c>
      <c r="C96" s="248" t="s">
        <v>179</v>
      </c>
      <c r="D96" s="4">
        <f t="shared" si="11"/>
        <v>39</v>
      </c>
      <c r="E96" s="248" t="s">
        <v>1</v>
      </c>
      <c r="F96" s="248">
        <v>0</v>
      </c>
      <c r="G96" s="248" t="s">
        <v>1</v>
      </c>
    </row>
    <row r="97" spans="1:8" x14ac:dyDescent="0.25">
      <c r="A97" s="248" t="s">
        <v>548</v>
      </c>
      <c r="B97" s="248" t="s">
        <v>144</v>
      </c>
      <c r="C97" s="248" t="s">
        <v>180</v>
      </c>
      <c r="D97" s="4">
        <f t="shared" si="11"/>
        <v>39</v>
      </c>
      <c r="E97" s="248" t="s">
        <v>1</v>
      </c>
      <c r="F97" s="248">
        <v>0</v>
      </c>
      <c r="G97" s="248" t="s">
        <v>1</v>
      </c>
    </row>
    <row r="98" spans="1:8" x14ac:dyDescent="0.25">
      <c r="A98" s="248" t="s">
        <v>549</v>
      </c>
      <c r="B98" s="248" t="s">
        <v>144</v>
      </c>
      <c r="C98" s="248" t="s">
        <v>181</v>
      </c>
      <c r="D98" s="4">
        <f t="shared" si="11"/>
        <v>41</v>
      </c>
      <c r="E98" s="248" t="s">
        <v>1</v>
      </c>
      <c r="F98" s="248">
        <v>0</v>
      </c>
      <c r="G98" s="248" t="s">
        <v>1</v>
      </c>
    </row>
    <row r="99" spans="1:8" x14ac:dyDescent="0.25">
      <c r="A99" s="248" t="s">
        <v>550</v>
      </c>
      <c r="B99" s="248" t="s">
        <v>144</v>
      </c>
      <c r="C99" s="248" t="s">
        <v>182</v>
      </c>
      <c r="D99" s="4">
        <f t="shared" si="11"/>
        <v>49</v>
      </c>
      <c r="E99" s="248" t="s">
        <v>1</v>
      </c>
      <c r="F99" s="248">
        <v>0</v>
      </c>
      <c r="G99" s="248" t="s">
        <v>1</v>
      </c>
    </row>
    <row r="100" spans="1:8" x14ac:dyDescent="0.25">
      <c r="A100" s="248" t="s">
        <v>551</v>
      </c>
      <c r="B100" s="248" t="s">
        <v>144</v>
      </c>
      <c r="C100" s="248" t="s">
        <v>183</v>
      </c>
      <c r="D100" s="4">
        <f t="shared" si="11"/>
        <v>35</v>
      </c>
      <c r="E100" s="248" t="s">
        <v>1</v>
      </c>
      <c r="F100" s="248">
        <v>0</v>
      </c>
      <c r="G100" s="248" t="s">
        <v>1</v>
      </c>
    </row>
    <row r="101" spans="1:8" x14ac:dyDescent="0.25">
      <c r="A101" s="248" t="s">
        <v>552</v>
      </c>
      <c r="B101" s="248" t="s">
        <v>144</v>
      </c>
      <c r="C101" s="248" t="s">
        <v>184</v>
      </c>
      <c r="D101" s="4">
        <f t="shared" si="11"/>
        <v>39</v>
      </c>
      <c r="E101" s="248" t="s">
        <v>1</v>
      </c>
      <c r="F101" s="248">
        <v>0</v>
      </c>
      <c r="G101" s="248" t="s">
        <v>1</v>
      </c>
    </row>
    <row r="102" spans="1:8" x14ac:dyDescent="0.25">
      <c r="A102" s="248" t="s">
        <v>553</v>
      </c>
      <c r="B102" s="248" t="s">
        <v>144</v>
      </c>
      <c r="C102" s="248" t="s">
        <v>185</v>
      </c>
      <c r="D102" s="4">
        <f t="shared" si="11"/>
        <v>42</v>
      </c>
      <c r="E102" s="248" t="s">
        <v>1</v>
      </c>
      <c r="F102" s="248">
        <v>0</v>
      </c>
      <c r="G102" s="248" t="s">
        <v>1</v>
      </c>
    </row>
    <row r="103" spans="1:8" x14ac:dyDescent="0.25">
      <c r="A103" s="248" t="s">
        <v>554</v>
      </c>
      <c r="B103" s="248" t="s">
        <v>144</v>
      </c>
      <c r="C103" s="248" t="s">
        <v>186</v>
      </c>
      <c r="D103" s="4">
        <f t="shared" si="11"/>
        <v>31</v>
      </c>
      <c r="E103" s="248" t="s">
        <v>1</v>
      </c>
      <c r="F103" s="248">
        <v>0</v>
      </c>
      <c r="G103" s="248" t="s">
        <v>1</v>
      </c>
    </row>
    <row r="104" spans="1:8" x14ac:dyDescent="0.25">
      <c r="A104" s="248" t="s">
        <v>555</v>
      </c>
      <c r="B104" s="248" t="s">
        <v>144</v>
      </c>
      <c r="C104" s="248" t="s">
        <v>187</v>
      </c>
      <c r="D104" s="4">
        <f t="shared" si="11"/>
        <v>41</v>
      </c>
      <c r="E104" s="248" t="s">
        <v>1</v>
      </c>
      <c r="F104" s="248">
        <v>0</v>
      </c>
      <c r="G104" s="248" t="s">
        <v>1</v>
      </c>
    </row>
    <row r="105" spans="1:8" x14ac:dyDescent="0.25">
      <c r="A105" s="248" t="s">
        <v>556</v>
      </c>
      <c r="B105" s="248" t="s">
        <v>144</v>
      </c>
      <c r="C105" s="248" t="s">
        <v>219</v>
      </c>
      <c r="D105" s="4">
        <f t="shared" si="11"/>
        <v>47</v>
      </c>
      <c r="E105" s="248" t="s">
        <v>1</v>
      </c>
      <c r="F105" s="248">
        <v>0</v>
      </c>
      <c r="G105" s="248" t="s">
        <v>1</v>
      </c>
    </row>
    <row r="106" spans="1:8" x14ac:dyDescent="0.25">
      <c r="A106" s="248" t="s">
        <v>557</v>
      </c>
      <c r="B106" s="248" t="s">
        <v>144</v>
      </c>
      <c r="C106" s="248" t="s">
        <v>220</v>
      </c>
      <c r="D106" s="4">
        <f t="shared" si="11"/>
        <v>30</v>
      </c>
      <c r="E106" s="248" t="s">
        <v>1</v>
      </c>
      <c r="F106" s="248">
        <v>0</v>
      </c>
      <c r="G106" s="248" t="s">
        <v>1</v>
      </c>
    </row>
    <row r="107" spans="1:8" s="260" customFormat="1" x14ac:dyDescent="0.25">
      <c r="A107" s="261" t="s">
        <v>793</v>
      </c>
      <c r="B107" s="261" t="s">
        <v>144</v>
      </c>
      <c r="C107" s="261" t="s">
        <v>489</v>
      </c>
      <c r="D107" s="4">
        <f t="shared" si="11"/>
        <v>27</v>
      </c>
      <c r="E107" s="261" t="s">
        <v>1</v>
      </c>
      <c r="F107" s="261">
        <v>0</v>
      </c>
      <c r="G107" s="261" t="s">
        <v>1</v>
      </c>
    </row>
    <row r="108" spans="1:8" s="260" customFormat="1" x14ac:dyDescent="0.25">
      <c r="A108" s="261" t="s">
        <v>794</v>
      </c>
      <c r="B108" s="261" t="s">
        <v>144</v>
      </c>
      <c r="C108" s="261" t="s">
        <v>490</v>
      </c>
      <c r="D108" s="4">
        <f t="shared" si="11"/>
        <v>35</v>
      </c>
      <c r="E108" s="261" t="s">
        <v>1</v>
      </c>
      <c r="F108" s="261">
        <v>0</v>
      </c>
      <c r="G108" s="261" t="s">
        <v>1</v>
      </c>
    </row>
    <row r="109" spans="1:8" s="260" customFormat="1" x14ac:dyDescent="0.25">
      <c r="A109" s="261" t="s">
        <v>795</v>
      </c>
      <c r="B109" s="261" t="s">
        <v>144</v>
      </c>
      <c r="C109" s="261" t="s">
        <v>491</v>
      </c>
      <c r="D109" s="4">
        <f t="shared" si="11"/>
        <v>34</v>
      </c>
      <c r="E109" s="261" t="s">
        <v>1</v>
      </c>
      <c r="F109" s="261">
        <v>0</v>
      </c>
      <c r="G109" s="261" t="s">
        <v>1</v>
      </c>
    </row>
    <row r="110" spans="1:8" x14ac:dyDescent="0.25">
      <c r="A110" s="248" t="s">
        <v>143</v>
      </c>
      <c r="B110" s="248" t="s">
        <v>4</v>
      </c>
      <c r="C110" s="248" t="s">
        <v>5</v>
      </c>
      <c r="D110" s="4">
        <f t="shared" si="11"/>
        <v>7</v>
      </c>
      <c r="E110" s="248" t="s">
        <v>6</v>
      </c>
      <c r="F110" s="248" t="s">
        <v>7</v>
      </c>
      <c r="G110" s="248" t="s">
        <v>31</v>
      </c>
      <c r="H110" s="248" t="s">
        <v>39</v>
      </c>
    </row>
    <row r="111" spans="1:8" x14ac:dyDescent="0.25">
      <c r="A111" s="248" t="s">
        <v>188</v>
      </c>
      <c r="B111" s="248" t="s">
        <v>144</v>
      </c>
      <c r="C111" s="248" t="s">
        <v>189</v>
      </c>
      <c r="D111" s="4">
        <f t="shared" si="11"/>
        <v>44</v>
      </c>
      <c r="E111" s="248" t="s">
        <v>1</v>
      </c>
      <c r="F111" s="248">
        <v>0</v>
      </c>
      <c r="G111" s="248" t="s">
        <v>1</v>
      </c>
    </row>
    <row r="112" spans="1:8" x14ac:dyDescent="0.25">
      <c r="A112" s="248" t="s">
        <v>214</v>
      </c>
      <c r="B112" s="248" t="s">
        <v>144</v>
      </c>
      <c r="C112" s="248" t="s">
        <v>215</v>
      </c>
      <c r="D112" s="4">
        <f t="shared" si="11"/>
        <v>46</v>
      </c>
      <c r="E112" s="248" t="s">
        <v>1</v>
      </c>
      <c r="F112" s="248">
        <v>0</v>
      </c>
      <c r="G112" s="248" t="s">
        <v>1</v>
      </c>
    </row>
    <row r="113" spans="1:7" x14ac:dyDescent="0.25">
      <c r="A113" s="248" t="s">
        <v>216</v>
      </c>
      <c r="B113" s="248" t="s">
        <v>144</v>
      </c>
      <c r="C113" s="248" t="s">
        <v>217</v>
      </c>
      <c r="D113" s="4">
        <f t="shared" si="11"/>
        <v>46</v>
      </c>
      <c r="E113" s="248" t="s">
        <v>1</v>
      </c>
      <c r="F113" s="248">
        <v>0</v>
      </c>
      <c r="G113" s="248" t="s">
        <v>1</v>
      </c>
    </row>
    <row r="114" spans="1:7" x14ac:dyDescent="0.25">
      <c r="A114" s="248" t="s">
        <v>558</v>
      </c>
      <c r="B114" s="248" t="s">
        <v>144</v>
      </c>
      <c r="C114" s="248" t="s">
        <v>190</v>
      </c>
      <c r="D114" s="4">
        <f t="shared" si="11"/>
        <v>49</v>
      </c>
      <c r="E114" s="248" t="s">
        <v>1</v>
      </c>
      <c r="F114" s="248">
        <v>0</v>
      </c>
      <c r="G114" s="248" t="s">
        <v>1</v>
      </c>
    </row>
    <row r="115" spans="1:7" x14ac:dyDescent="0.25">
      <c r="A115" s="248" t="s">
        <v>559</v>
      </c>
      <c r="B115" s="248" t="s">
        <v>144</v>
      </c>
      <c r="C115" s="248" t="s">
        <v>191</v>
      </c>
      <c r="D115" s="4">
        <f t="shared" si="11"/>
        <v>41</v>
      </c>
      <c r="E115" s="248" t="s">
        <v>1</v>
      </c>
      <c r="F115" s="248">
        <v>0</v>
      </c>
      <c r="G115" s="248" t="s">
        <v>1</v>
      </c>
    </row>
    <row r="116" spans="1:7" x14ac:dyDescent="0.25">
      <c r="A116" s="248" t="s">
        <v>560</v>
      </c>
      <c r="B116" s="248" t="s">
        <v>144</v>
      </c>
      <c r="C116" s="248" t="s">
        <v>192</v>
      </c>
      <c r="D116" s="4">
        <f t="shared" si="11"/>
        <v>37</v>
      </c>
      <c r="E116" s="248" t="s">
        <v>1</v>
      </c>
      <c r="F116" s="248">
        <v>0</v>
      </c>
      <c r="G116" s="248" t="s">
        <v>1</v>
      </c>
    </row>
    <row r="117" spans="1:7" x14ac:dyDescent="0.25">
      <c r="A117" s="248" t="s">
        <v>561</v>
      </c>
      <c r="B117" s="248" t="s">
        <v>144</v>
      </c>
      <c r="C117" s="248" t="s">
        <v>193</v>
      </c>
      <c r="D117" s="4">
        <f t="shared" si="11"/>
        <v>28</v>
      </c>
      <c r="E117" s="248" t="s">
        <v>1</v>
      </c>
      <c r="F117" s="248">
        <v>0</v>
      </c>
      <c r="G117" s="248" t="s">
        <v>1</v>
      </c>
    </row>
    <row r="118" spans="1:7" x14ac:dyDescent="0.25">
      <c r="A118" s="248" t="s">
        <v>562</v>
      </c>
      <c r="B118" s="248" t="s">
        <v>144</v>
      </c>
      <c r="C118" s="248" t="s">
        <v>194</v>
      </c>
      <c r="D118" s="4">
        <f t="shared" si="11"/>
        <v>26</v>
      </c>
      <c r="E118" s="248" t="s">
        <v>1</v>
      </c>
      <c r="F118" s="248">
        <v>0</v>
      </c>
      <c r="G118" s="248" t="s">
        <v>1</v>
      </c>
    </row>
    <row r="119" spans="1:7" x14ac:dyDescent="0.25">
      <c r="A119" s="248" t="s">
        <v>563</v>
      </c>
      <c r="B119" s="248" t="s">
        <v>144</v>
      </c>
      <c r="C119" s="248" t="s">
        <v>195</v>
      </c>
      <c r="D119" s="4">
        <f t="shared" si="11"/>
        <v>28</v>
      </c>
      <c r="E119" s="248" t="s">
        <v>1</v>
      </c>
      <c r="F119" s="248">
        <v>0</v>
      </c>
      <c r="G119" s="248" t="s">
        <v>1</v>
      </c>
    </row>
    <row r="120" spans="1:7" x14ac:dyDescent="0.25">
      <c r="A120" s="248" t="s">
        <v>564</v>
      </c>
      <c r="B120" s="248" t="s">
        <v>144</v>
      </c>
      <c r="C120" s="248" t="s">
        <v>196</v>
      </c>
      <c r="D120" s="4">
        <f t="shared" si="11"/>
        <v>26</v>
      </c>
      <c r="E120" s="248" t="s">
        <v>1</v>
      </c>
      <c r="F120" s="248">
        <v>0</v>
      </c>
      <c r="G120" s="248" t="s">
        <v>1</v>
      </c>
    </row>
    <row r="121" spans="1:7" x14ac:dyDescent="0.25">
      <c r="A121" s="248" t="s">
        <v>565</v>
      </c>
      <c r="B121" s="248" t="s">
        <v>144</v>
      </c>
      <c r="C121" s="248" t="s">
        <v>197</v>
      </c>
      <c r="D121" s="4">
        <f t="shared" si="11"/>
        <v>39</v>
      </c>
      <c r="E121" s="248" t="s">
        <v>1</v>
      </c>
      <c r="F121" s="248">
        <v>0</v>
      </c>
      <c r="G121" s="248" t="s">
        <v>1</v>
      </c>
    </row>
    <row r="122" spans="1:7" x14ac:dyDescent="0.25">
      <c r="A122" s="248" t="s">
        <v>566</v>
      </c>
      <c r="B122" s="248" t="s">
        <v>144</v>
      </c>
      <c r="C122" s="248" t="s">
        <v>198</v>
      </c>
      <c r="D122" s="4">
        <f t="shared" si="11"/>
        <v>37</v>
      </c>
      <c r="E122" s="248" t="s">
        <v>1</v>
      </c>
      <c r="F122" s="248">
        <v>0</v>
      </c>
      <c r="G122" s="248" t="s">
        <v>1</v>
      </c>
    </row>
    <row r="123" spans="1:7" x14ac:dyDescent="0.25">
      <c r="A123" s="248" t="s">
        <v>567</v>
      </c>
      <c r="B123" s="248" t="s">
        <v>144</v>
      </c>
      <c r="C123" s="248" t="s">
        <v>199</v>
      </c>
      <c r="D123" s="4">
        <f t="shared" si="11"/>
        <v>37</v>
      </c>
      <c r="E123" s="248" t="s">
        <v>1</v>
      </c>
      <c r="F123" s="248">
        <v>0</v>
      </c>
      <c r="G123" s="248" t="s">
        <v>1</v>
      </c>
    </row>
    <row r="124" spans="1:7" x14ac:dyDescent="0.25">
      <c r="A124" s="248" t="s">
        <v>568</v>
      </c>
      <c r="B124" s="248" t="s">
        <v>144</v>
      </c>
      <c r="C124" s="248" t="s">
        <v>200</v>
      </c>
      <c r="D124" s="4">
        <f t="shared" si="11"/>
        <v>39</v>
      </c>
      <c r="E124" s="248" t="s">
        <v>1</v>
      </c>
      <c r="F124" s="248">
        <v>0</v>
      </c>
      <c r="G124" s="248" t="s">
        <v>1</v>
      </c>
    </row>
    <row r="125" spans="1:7" x14ac:dyDescent="0.25">
      <c r="A125" s="248" t="s">
        <v>569</v>
      </c>
      <c r="B125" s="248" t="s">
        <v>144</v>
      </c>
      <c r="C125" s="248" t="s">
        <v>209</v>
      </c>
      <c r="D125" s="4">
        <f t="shared" si="11"/>
        <v>44</v>
      </c>
      <c r="E125" s="248" t="s">
        <v>1</v>
      </c>
      <c r="F125" s="248">
        <v>0</v>
      </c>
      <c r="G125" s="248" t="s">
        <v>1</v>
      </c>
    </row>
    <row r="126" spans="1:7" x14ac:dyDescent="0.25">
      <c r="A126" s="248" t="s">
        <v>570</v>
      </c>
      <c r="B126" s="248" t="s">
        <v>144</v>
      </c>
      <c r="C126" s="248" t="s">
        <v>210</v>
      </c>
      <c r="D126" s="4">
        <f t="shared" si="11"/>
        <v>44</v>
      </c>
      <c r="E126" s="248" t="s">
        <v>1</v>
      </c>
      <c r="F126" s="248">
        <v>0</v>
      </c>
      <c r="G126" s="248" t="s">
        <v>1</v>
      </c>
    </row>
    <row r="127" spans="1:7" x14ac:dyDescent="0.25">
      <c r="A127" s="248" t="s">
        <v>571</v>
      </c>
      <c r="B127" s="248" t="s">
        <v>144</v>
      </c>
      <c r="C127" s="248" t="s">
        <v>211</v>
      </c>
      <c r="D127" s="4">
        <f t="shared" si="11"/>
        <v>38</v>
      </c>
      <c r="E127" s="248" t="s">
        <v>1</v>
      </c>
      <c r="F127" s="248">
        <v>0</v>
      </c>
      <c r="G127" s="248" t="s">
        <v>1</v>
      </c>
    </row>
    <row r="128" spans="1:7" x14ac:dyDescent="0.25">
      <c r="A128" s="248" t="s">
        <v>572</v>
      </c>
      <c r="B128" s="248" t="s">
        <v>144</v>
      </c>
      <c r="C128" s="248" t="s">
        <v>212</v>
      </c>
      <c r="D128" s="4">
        <f t="shared" si="11"/>
        <v>37</v>
      </c>
      <c r="E128" s="248" t="s">
        <v>1</v>
      </c>
      <c r="F128" s="248">
        <v>0</v>
      </c>
      <c r="G128" s="248" t="s">
        <v>1</v>
      </c>
    </row>
    <row r="129" spans="1:7" x14ac:dyDescent="0.25">
      <c r="A129" s="248" t="s">
        <v>573</v>
      </c>
      <c r="B129" s="248" t="s">
        <v>144</v>
      </c>
      <c r="C129" s="248" t="s">
        <v>213</v>
      </c>
      <c r="D129" s="4">
        <f t="shared" si="11"/>
        <v>44</v>
      </c>
      <c r="E129" s="248" t="s">
        <v>1</v>
      </c>
      <c r="F129" s="248">
        <v>0</v>
      </c>
      <c r="G129" s="248" t="s">
        <v>1</v>
      </c>
    </row>
    <row r="130" spans="1:7" s="261" customFormat="1" x14ac:dyDescent="0.25">
      <c r="A130" s="262" t="s">
        <v>796</v>
      </c>
      <c r="B130" s="262" t="s">
        <v>144</v>
      </c>
      <c r="C130" s="262" t="s">
        <v>492</v>
      </c>
      <c r="D130" s="4">
        <f t="shared" si="11"/>
        <v>33</v>
      </c>
      <c r="E130" s="262" t="s">
        <v>1</v>
      </c>
      <c r="F130" s="262">
        <v>0</v>
      </c>
      <c r="G130" s="262" t="s">
        <v>1</v>
      </c>
    </row>
    <row r="131" spans="1:7" s="261" customFormat="1" x14ac:dyDescent="0.25">
      <c r="A131" s="262" t="s">
        <v>797</v>
      </c>
      <c r="B131" s="262" t="s">
        <v>144</v>
      </c>
      <c r="C131" s="262" t="s">
        <v>493</v>
      </c>
      <c r="D131" s="4">
        <f t="shared" si="11"/>
        <v>30</v>
      </c>
      <c r="E131" s="262" t="s">
        <v>1</v>
      </c>
      <c r="F131" s="262">
        <v>0</v>
      </c>
      <c r="G131" s="262" t="s">
        <v>1</v>
      </c>
    </row>
    <row r="132" spans="1:7" s="261" customFormat="1" x14ac:dyDescent="0.25">
      <c r="A132" s="262" t="s">
        <v>798</v>
      </c>
      <c r="B132" s="262" t="s">
        <v>144</v>
      </c>
      <c r="C132" s="262" t="s">
        <v>494</v>
      </c>
      <c r="D132" s="4">
        <f t="shared" si="11"/>
        <v>30</v>
      </c>
      <c r="E132" s="262" t="s">
        <v>1</v>
      </c>
      <c r="F132" s="262">
        <v>0</v>
      </c>
      <c r="G132" s="262" t="s">
        <v>1</v>
      </c>
    </row>
    <row r="133" spans="1:7" s="261" customFormat="1" x14ac:dyDescent="0.25">
      <c r="A133" s="262" t="s">
        <v>799</v>
      </c>
      <c r="B133" s="262" t="s">
        <v>144</v>
      </c>
      <c r="C133" s="262" t="s">
        <v>495</v>
      </c>
      <c r="D133" s="4">
        <f t="shared" si="11"/>
        <v>29</v>
      </c>
      <c r="E133" s="262" t="s">
        <v>1</v>
      </c>
      <c r="F133" s="262">
        <v>0</v>
      </c>
      <c r="G133" s="262" t="s">
        <v>1</v>
      </c>
    </row>
    <row r="134" spans="1:7" s="261" customFormat="1" x14ac:dyDescent="0.25">
      <c r="A134" s="262" t="s">
        <v>800</v>
      </c>
      <c r="B134" s="262" t="s">
        <v>144</v>
      </c>
      <c r="C134" s="262" t="s">
        <v>496</v>
      </c>
      <c r="D134" s="4">
        <f t="shared" si="11"/>
        <v>30</v>
      </c>
      <c r="E134" s="262" t="s">
        <v>1</v>
      </c>
      <c r="F134" s="262">
        <v>0</v>
      </c>
      <c r="G134" s="262" t="s">
        <v>1</v>
      </c>
    </row>
    <row r="135" spans="1:7" s="261" customFormat="1" x14ac:dyDescent="0.25">
      <c r="A135" s="262" t="s">
        <v>801</v>
      </c>
      <c r="B135" s="262" t="s">
        <v>144</v>
      </c>
      <c r="C135" s="262" t="s">
        <v>497</v>
      </c>
      <c r="D135" s="4">
        <f t="shared" si="11"/>
        <v>31</v>
      </c>
      <c r="E135" s="262" t="s">
        <v>1</v>
      </c>
      <c r="F135" s="262">
        <v>0</v>
      </c>
      <c r="G135" s="262" t="s">
        <v>1</v>
      </c>
    </row>
    <row r="136" spans="1:7" s="261" customFormat="1" x14ac:dyDescent="0.25">
      <c r="A136" s="262" t="s">
        <v>802</v>
      </c>
      <c r="B136" s="262" t="s">
        <v>144</v>
      </c>
      <c r="C136" s="262" t="s">
        <v>498</v>
      </c>
      <c r="D136" s="4">
        <f t="shared" si="11"/>
        <v>32</v>
      </c>
      <c r="E136" s="262" t="s">
        <v>1</v>
      </c>
      <c r="F136" s="262">
        <v>0</v>
      </c>
      <c r="G136" s="262" t="s">
        <v>1</v>
      </c>
    </row>
    <row r="137" spans="1:7" s="261" customFormat="1" x14ac:dyDescent="0.25">
      <c r="A137" s="262" t="s">
        <v>803</v>
      </c>
      <c r="B137" s="262" t="s">
        <v>144</v>
      </c>
      <c r="C137" s="262" t="s">
        <v>499</v>
      </c>
      <c r="D137" s="4">
        <f t="shared" si="11"/>
        <v>32</v>
      </c>
      <c r="E137" s="262" t="s">
        <v>1</v>
      </c>
      <c r="F137" s="262">
        <v>0</v>
      </c>
      <c r="G137" s="262" t="s">
        <v>1</v>
      </c>
    </row>
    <row r="138" spans="1:7" s="261" customFormat="1" x14ac:dyDescent="0.25">
      <c r="A138" s="262" t="s">
        <v>804</v>
      </c>
      <c r="B138" s="262" t="s">
        <v>144</v>
      </c>
      <c r="C138" s="262" t="s">
        <v>500</v>
      </c>
      <c r="D138" s="4">
        <f t="shared" si="11"/>
        <v>30</v>
      </c>
      <c r="E138" s="262" t="s">
        <v>1</v>
      </c>
      <c r="F138" s="262">
        <v>0</v>
      </c>
      <c r="G138" s="262" t="s">
        <v>1</v>
      </c>
    </row>
    <row r="139" spans="1:7" s="261" customFormat="1" x14ac:dyDescent="0.25">
      <c r="A139" s="262" t="s">
        <v>805</v>
      </c>
      <c r="B139" s="262" t="s">
        <v>144</v>
      </c>
      <c r="C139" s="262" t="s">
        <v>501</v>
      </c>
      <c r="D139" s="4">
        <f t="shared" si="11"/>
        <v>31</v>
      </c>
      <c r="E139" s="262" t="s">
        <v>1</v>
      </c>
      <c r="F139" s="262">
        <v>0</v>
      </c>
      <c r="G139" s="262" t="s">
        <v>1</v>
      </c>
    </row>
    <row r="140" spans="1:7" s="261" customFormat="1" x14ac:dyDescent="0.25">
      <c r="A140" s="262" t="s">
        <v>806</v>
      </c>
      <c r="B140" s="262" t="s">
        <v>144</v>
      </c>
      <c r="C140" s="262" t="s">
        <v>502</v>
      </c>
      <c r="D140" s="4">
        <f t="shared" si="11"/>
        <v>32</v>
      </c>
      <c r="E140" s="262" t="s">
        <v>1</v>
      </c>
      <c r="F140" s="262">
        <v>0</v>
      </c>
      <c r="G140" s="262" t="s">
        <v>1</v>
      </c>
    </row>
    <row r="141" spans="1:7" s="261" customFormat="1" x14ac:dyDescent="0.25">
      <c r="A141" s="262" t="s">
        <v>807</v>
      </c>
      <c r="B141" s="262" t="s">
        <v>144</v>
      </c>
      <c r="C141" s="262" t="s">
        <v>503</v>
      </c>
      <c r="D141" s="4">
        <f t="shared" si="11"/>
        <v>33</v>
      </c>
      <c r="E141" s="262" t="s">
        <v>1</v>
      </c>
      <c r="F141" s="262">
        <v>0</v>
      </c>
      <c r="G141" s="262" t="s">
        <v>1</v>
      </c>
    </row>
    <row r="142" spans="1:7" s="261" customFormat="1" x14ac:dyDescent="0.25">
      <c r="A142" s="262" t="s">
        <v>808</v>
      </c>
      <c r="B142" s="262" t="s">
        <v>144</v>
      </c>
      <c r="C142" s="262" t="s">
        <v>504</v>
      </c>
      <c r="D142" s="4">
        <f t="shared" si="11"/>
        <v>34</v>
      </c>
      <c r="E142" s="262" t="s">
        <v>1</v>
      </c>
      <c r="F142" s="262">
        <v>0</v>
      </c>
      <c r="G142" s="262" t="s">
        <v>1</v>
      </c>
    </row>
    <row r="143" spans="1:7" s="261" customFormat="1" x14ac:dyDescent="0.25">
      <c r="A143" s="262" t="s">
        <v>809</v>
      </c>
      <c r="B143" s="262" t="s">
        <v>144</v>
      </c>
      <c r="C143" s="262" t="s">
        <v>505</v>
      </c>
      <c r="D143" s="4">
        <f t="shared" si="11"/>
        <v>34</v>
      </c>
      <c r="E143" s="262" t="s">
        <v>1</v>
      </c>
      <c r="F143" s="262">
        <v>0</v>
      </c>
      <c r="G143" s="262" t="s">
        <v>1</v>
      </c>
    </row>
    <row r="144" spans="1:7" s="261" customFormat="1" x14ac:dyDescent="0.25">
      <c r="A144" s="262" t="s">
        <v>810</v>
      </c>
      <c r="B144" s="262" t="s">
        <v>144</v>
      </c>
      <c r="C144" s="262" t="s">
        <v>506</v>
      </c>
      <c r="D144" s="4">
        <f t="shared" si="11"/>
        <v>32</v>
      </c>
      <c r="E144" s="262" t="s">
        <v>1</v>
      </c>
      <c r="F144" s="262">
        <v>0</v>
      </c>
      <c r="G144" s="262" t="s">
        <v>1</v>
      </c>
    </row>
    <row r="145" spans="1:8" s="261" customFormat="1" x14ac:dyDescent="0.25">
      <c r="A145" s="248" t="s">
        <v>201</v>
      </c>
      <c r="B145" s="248" t="s">
        <v>4</v>
      </c>
      <c r="C145" s="248" t="s">
        <v>5</v>
      </c>
      <c r="D145" s="4">
        <f>LEN(C145)</f>
        <v>7</v>
      </c>
      <c r="E145" s="248" t="s">
        <v>6</v>
      </c>
      <c r="F145" s="248" t="s">
        <v>7</v>
      </c>
      <c r="G145" s="248" t="s">
        <v>31</v>
      </c>
      <c r="H145" s="248" t="s">
        <v>39</v>
      </c>
    </row>
    <row r="146" spans="1:8" s="261" customFormat="1" x14ac:dyDescent="0.25">
      <c r="A146" s="248" t="s">
        <v>202</v>
      </c>
      <c r="B146" s="248" t="s">
        <v>144</v>
      </c>
      <c r="C146" s="248" t="s">
        <v>203</v>
      </c>
      <c r="D146" s="4">
        <f>LEN(C146)</f>
        <v>38</v>
      </c>
      <c r="E146" s="248" t="s">
        <v>1</v>
      </c>
      <c r="F146" s="248">
        <v>0</v>
      </c>
      <c r="G146" s="248" t="s">
        <v>1</v>
      </c>
      <c r="H146" s="248"/>
    </row>
    <row r="147" spans="1:8" s="261" customFormat="1" x14ac:dyDescent="0.25">
      <c r="A147" s="248" t="s">
        <v>204</v>
      </c>
      <c r="B147" s="248" t="s">
        <v>4</v>
      </c>
      <c r="C147" s="248" t="s">
        <v>5</v>
      </c>
      <c r="D147" s="4">
        <f>LEN(C147)</f>
        <v>7</v>
      </c>
      <c r="E147" s="248" t="s">
        <v>39</v>
      </c>
      <c r="F147" s="248"/>
      <c r="G147" s="248"/>
      <c r="H147" s="248"/>
    </row>
    <row r="148" spans="1:8" s="261" customFormat="1" x14ac:dyDescent="0.25">
      <c r="A148" s="248" t="s">
        <v>205</v>
      </c>
      <c r="B148" s="248" t="s">
        <v>144</v>
      </c>
      <c r="C148" s="248" t="s">
        <v>206</v>
      </c>
      <c r="D148" s="4">
        <f>LEN(C148)</f>
        <v>29</v>
      </c>
      <c r="E148" s="248"/>
      <c r="F148" s="248"/>
      <c r="G148" s="248"/>
      <c r="H148" s="248"/>
    </row>
    <row r="149" spans="1:8" s="261" customFormat="1" x14ac:dyDescent="0.25">
      <c r="A149" s="248"/>
      <c r="B149" s="248"/>
      <c r="C149" s="248"/>
      <c r="D149" s="4">
        <f>LEN(C149)</f>
        <v>0</v>
      </c>
      <c r="E149" s="248"/>
      <c r="F149" s="248"/>
      <c r="G149" s="248"/>
      <c r="H149" s="248"/>
    </row>
    <row r="150" spans="1:8" s="261" customFormat="1" x14ac:dyDescent="0.25">
      <c r="A150" s="248"/>
      <c r="B150" s="248"/>
      <c r="C150" s="248"/>
      <c r="D150" s="4"/>
      <c r="E150" s="248"/>
      <c r="F150" s="248"/>
      <c r="G150" s="248"/>
      <c r="H150" s="248"/>
    </row>
  </sheetData>
  <conditionalFormatting sqref="D41:D82 D31:D39 D87:D149">
    <cfRule type="cellIs" dxfId="4" priority="1" operator="greaterThan">
      <formula>49</formula>
    </cfRule>
  </conditionalFormatting>
  <conditionalFormatting sqref="D3:D4">
    <cfRule type="cellIs" dxfId="3" priority="7" operator="greaterThan">
      <formula>49</formula>
    </cfRule>
  </conditionalFormatting>
  <conditionalFormatting sqref="D6:D29">
    <cfRule type="cellIs" dxfId="2" priority="6" operator="greaterThan">
      <formula>49</formula>
    </cfRule>
  </conditionalFormatting>
  <conditionalFormatting sqref="D83:D85">
    <cfRule type="cellIs" dxfId="1" priority="3" operator="greaterThan">
      <formula>49</formula>
    </cfRule>
  </conditionalFormatting>
  <conditionalFormatting sqref="D30">
    <cfRule type="cellIs" dxfId="0" priority="2" operator="greaterThan">
      <formula>49</formula>
    </cfRule>
  </conditionalFormatting>
  <pageMargins left="0.7" right="0.7" top="0.97222222222222221" bottom="0.75" header="0.3" footer="0.3"/>
  <pageSetup orientation="portrait" r:id="rId1"/>
  <headerFooter>
    <oddHeader>&amp;L&amp;"Times New Roman,Regular"Regional Municipality of Halton  
SCADA Standards Manual Section 6 HMI Programming
Appendix 6A HMI Tag Template&amp;R&amp;"Times New Roman,Regular"SCADA STANDARDS 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6"/>
  <sheetViews>
    <sheetView view="pageBreakPreview" topLeftCell="A14" zoomScale="90" zoomScaleNormal="100" zoomScaleSheetLayoutView="90" workbookViewId="0">
      <selection activeCell="A54" sqref="A54"/>
    </sheetView>
  </sheetViews>
  <sheetFormatPr defaultRowHeight="15" x14ac:dyDescent="0.25"/>
  <cols>
    <col min="1" max="1" width="30.42578125" style="262" bestFit="1" customWidth="1"/>
    <col min="2" max="2" width="14.5703125" style="262" bestFit="1" customWidth="1"/>
    <col min="3" max="3" width="53.28515625" style="262" bestFit="1" customWidth="1"/>
    <col min="4" max="4" width="17.7109375" style="262" bestFit="1" customWidth="1"/>
    <col min="5" max="5" width="11.28515625" style="262" bestFit="1" customWidth="1"/>
    <col min="6" max="7" width="17.7109375" style="262" bestFit="1" customWidth="1"/>
    <col min="8" max="8" width="13.7109375" style="262" bestFit="1" customWidth="1"/>
    <col min="9" max="9" width="13.42578125" style="262" bestFit="1" customWidth="1"/>
    <col min="10" max="10" width="25.28515625" style="262" bestFit="1" customWidth="1"/>
    <col min="11" max="12" width="18.28515625" style="262" bestFit="1" customWidth="1"/>
    <col min="13" max="13" width="26" style="262" bestFit="1" customWidth="1"/>
    <col min="14" max="14" width="15" style="262" bestFit="1" customWidth="1"/>
    <col min="15" max="15" width="43.28515625" style="262" bestFit="1" customWidth="1"/>
    <col min="16" max="16" width="15.42578125" style="262" bestFit="1" customWidth="1"/>
    <col min="17" max="17" width="28.85546875" style="262" customWidth="1"/>
    <col min="18" max="18" width="16.28515625" style="262" bestFit="1" customWidth="1"/>
    <col min="19" max="19" width="43.7109375" style="262" bestFit="1" customWidth="1"/>
    <col min="20" max="20" width="19.28515625" style="262" bestFit="1" customWidth="1"/>
    <col min="21" max="21" width="15.7109375" style="262" bestFit="1" customWidth="1"/>
    <col min="22" max="22" width="16" style="262" bestFit="1" customWidth="1"/>
    <col min="23" max="23" width="13.28515625" style="262" bestFit="1" customWidth="1"/>
    <col min="24" max="16384" width="9.140625" style="262"/>
  </cols>
  <sheetData>
    <row r="1" spans="1:23" x14ac:dyDescent="0.25">
      <c r="A1" s="262" t="s">
        <v>130</v>
      </c>
      <c r="D1" s="5" t="s">
        <v>119</v>
      </c>
    </row>
    <row r="2" spans="1:23" x14ac:dyDescent="0.25">
      <c r="A2" s="262" t="s">
        <v>3</v>
      </c>
      <c r="B2" s="262" t="s">
        <v>4</v>
      </c>
      <c r="C2" s="262" t="s">
        <v>5</v>
      </c>
      <c r="D2" s="4">
        <f t="shared" ref="D2" si="0">LEN(C2)</f>
        <v>7</v>
      </c>
      <c r="E2" s="262" t="s">
        <v>6</v>
      </c>
      <c r="F2" s="262" t="s">
        <v>7</v>
      </c>
      <c r="G2" s="262" t="s">
        <v>8</v>
      </c>
      <c r="H2" s="262" t="s">
        <v>9</v>
      </c>
      <c r="I2" s="262" t="s">
        <v>10</v>
      </c>
      <c r="J2" s="262" t="s">
        <v>11</v>
      </c>
      <c r="K2" s="262" t="s">
        <v>12</v>
      </c>
      <c r="L2" s="262" t="s">
        <v>13</v>
      </c>
      <c r="M2" s="262" t="s">
        <v>14</v>
      </c>
      <c r="N2" s="262" t="s">
        <v>15</v>
      </c>
      <c r="O2" s="262" t="s">
        <v>16</v>
      </c>
      <c r="P2" s="262" t="s">
        <v>17</v>
      </c>
      <c r="Q2" s="262" t="s">
        <v>18</v>
      </c>
      <c r="R2" s="262" t="s">
        <v>19</v>
      </c>
      <c r="S2" s="262" t="s">
        <v>20</v>
      </c>
      <c r="T2" s="262" t="s">
        <v>21</v>
      </c>
      <c r="U2" s="262" t="s">
        <v>22</v>
      </c>
      <c r="V2" s="262" t="s">
        <v>23</v>
      </c>
    </row>
    <row r="3" spans="1:23" x14ac:dyDescent="0.25">
      <c r="A3" s="6" t="str">
        <f>[1]BXXPLC1!A5</f>
        <v>BXX</v>
      </c>
      <c r="B3" s="6" t="str">
        <f>[1]BXXPLC1!B5</f>
        <v>Plant</v>
      </c>
      <c r="C3" s="6" t="str">
        <f>[1]BXXPLC1!C5</f>
        <v>Station BXX</v>
      </c>
      <c r="D3" s="4">
        <f>LEN(C3)</f>
        <v>11</v>
      </c>
      <c r="E3" s="262" t="s">
        <v>0</v>
      </c>
      <c r="F3" s="262">
        <v>999</v>
      </c>
      <c r="G3" s="262">
        <v>0</v>
      </c>
      <c r="H3" s="262">
        <v>0</v>
      </c>
      <c r="I3" s="262">
        <v>0</v>
      </c>
      <c r="J3" s="262">
        <v>0</v>
      </c>
      <c r="K3" s="262">
        <v>0</v>
      </c>
      <c r="L3" s="262">
        <v>0</v>
      </c>
      <c r="M3" s="262">
        <v>0</v>
      </c>
      <c r="N3" s="262">
        <v>0</v>
      </c>
    </row>
    <row r="4" spans="1:23" x14ac:dyDescent="0.25">
      <c r="A4" s="6" t="str">
        <f>[1]BXXPLC1!A7</f>
        <v>BXX_DSAB</v>
      </c>
      <c r="B4" s="6" t="str">
        <f>[1]BXXPLC1!B7</f>
        <v>Disabled_Alarms</v>
      </c>
      <c r="C4" s="6" t="str">
        <f>[1]BXXPLC1!C7</f>
        <v>BXX Disabled Alarms</v>
      </c>
      <c r="D4" s="4">
        <f>LEN(C4)</f>
        <v>19</v>
      </c>
      <c r="E4" s="262" t="s">
        <v>0</v>
      </c>
      <c r="F4" s="262">
        <v>999</v>
      </c>
      <c r="G4" s="262">
        <v>0</v>
      </c>
      <c r="H4" s="262">
        <v>0</v>
      </c>
      <c r="I4" s="262">
        <v>0</v>
      </c>
      <c r="J4" s="262">
        <v>0</v>
      </c>
      <c r="K4" s="262">
        <v>0</v>
      </c>
      <c r="L4" s="262">
        <v>0</v>
      </c>
      <c r="M4" s="262">
        <v>0</v>
      </c>
      <c r="N4" s="262">
        <v>0</v>
      </c>
    </row>
    <row r="5" spans="1:23" x14ac:dyDescent="0.25">
      <c r="A5" s="262" t="s">
        <v>530</v>
      </c>
      <c r="B5" s="262" t="s">
        <v>4</v>
      </c>
      <c r="C5" s="262" t="s">
        <v>5</v>
      </c>
      <c r="D5" s="4"/>
      <c r="E5" s="262" t="s">
        <v>30</v>
      </c>
      <c r="F5" s="262" t="s">
        <v>6</v>
      </c>
      <c r="G5" s="262" t="s">
        <v>7</v>
      </c>
      <c r="H5" s="262" t="s">
        <v>31</v>
      </c>
      <c r="I5" s="262" t="s">
        <v>32</v>
      </c>
      <c r="J5" s="262" t="s">
        <v>33</v>
      </c>
      <c r="K5" s="262" t="s">
        <v>34</v>
      </c>
      <c r="L5" s="262" t="s">
        <v>35</v>
      </c>
      <c r="M5" s="262" t="s">
        <v>36</v>
      </c>
      <c r="N5" s="262" t="s">
        <v>44</v>
      </c>
      <c r="O5" s="262" t="s">
        <v>45</v>
      </c>
      <c r="P5" s="262" t="s">
        <v>46</v>
      </c>
      <c r="Q5" s="262" t="s">
        <v>47</v>
      </c>
      <c r="R5" s="262" t="s">
        <v>48</v>
      </c>
      <c r="S5" s="262" t="s">
        <v>37</v>
      </c>
      <c r="T5" s="262" t="s">
        <v>38</v>
      </c>
      <c r="U5" s="262" t="s">
        <v>15</v>
      </c>
      <c r="V5" s="262" t="s">
        <v>23</v>
      </c>
      <c r="W5" s="262" t="s">
        <v>39</v>
      </c>
    </row>
    <row r="6" spans="1:23" x14ac:dyDescent="0.25">
      <c r="A6" s="6" t="str">
        <f>$A$3&amp;"_OVF1_FI1_DA_EL"</f>
        <v>BXX_OVF1_FI1_DA_EL</v>
      </c>
      <c r="B6" s="6" t="str">
        <f t="shared" ref="B6:B74" si="1">$A$3</f>
        <v>BXX</v>
      </c>
      <c r="C6" s="6" t="str">
        <f>$C$3&amp;" Overflow Loss of Echo"</f>
        <v>Station BXX Overflow Loss of Echo</v>
      </c>
      <c r="D6" s="4">
        <f t="shared" ref="D6:D69" si="2">LEN(C6)</f>
        <v>33</v>
      </c>
      <c r="E6" s="262" t="s">
        <v>1</v>
      </c>
      <c r="F6" s="262" t="s">
        <v>1</v>
      </c>
      <c r="G6" s="262">
        <v>0</v>
      </c>
      <c r="H6" s="262" t="s">
        <v>0</v>
      </c>
      <c r="I6" s="262" t="s">
        <v>40</v>
      </c>
      <c r="J6" s="262" t="s">
        <v>50</v>
      </c>
      <c r="K6" s="262" t="s">
        <v>51</v>
      </c>
      <c r="L6" s="262" t="s">
        <v>42</v>
      </c>
      <c r="M6" s="220">
        <v>9</v>
      </c>
      <c r="N6" s="262" t="s">
        <v>49</v>
      </c>
      <c r="O6" s="6" t="str">
        <f>[1]BXXPLC1!$C$3</f>
        <v>BXX</v>
      </c>
      <c r="P6" s="262" t="s">
        <v>1</v>
      </c>
      <c r="Q6" s="6" t="str">
        <f>A6&amp;".eng"</f>
        <v>BXX_OVF1_FI1_DA_EL.eng</v>
      </c>
      <c r="R6" s="262" t="s">
        <v>1</v>
      </c>
      <c r="S6" s="6" t="str">
        <f t="shared" ref="S6:S69" si="3">C6</f>
        <v>Station BXX Overflow Loss of Echo</v>
      </c>
      <c r="T6" s="262">
        <v>0</v>
      </c>
      <c r="U6" s="262">
        <v>0</v>
      </c>
    </row>
    <row r="7" spans="1:23" x14ac:dyDescent="0.25">
      <c r="A7" s="6" t="str">
        <f>$A$3&amp;"_OVF1_FI1_PB_EL_RE"</f>
        <v>BXX_OVF1_FI1_PB_EL_RE</v>
      </c>
      <c r="B7" s="6" t="str">
        <f t="shared" si="1"/>
        <v>BXX</v>
      </c>
      <c r="C7" s="6" t="str">
        <f>$C$3&amp;" Overflow Loss of Echo Enable"</f>
        <v>Station BXX Overflow Loss of Echo Enable</v>
      </c>
      <c r="D7" s="4">
        <f t="shared" si="2"/>
        <v>40</v>
      </c>
      <c r="E7" s="262" t="s">
        <v>1</v>
      </c>
      <c r="F7" s="262" t="s">
        <v>0</v>
      </c>
      <c r="G7" s="262">
        <v>600</v>
      </c>
      <c r="H7" s="262" t="s">
        <v>0</v>
      </c>
      <c r="I7" s="262" t="s">
        <v>40</v>
      </c>
      <c r="J7" s="262" t="s">
        <v>52</v>
      </c>
      <c r="K7" s="262" t="s">
        <v>53</v>
      </c>
      <c r="L7" s="262" t="s">
        <v>41</v>
      </c>
      <c r="M7" s="220">
        <v>1</v>
      </c>
      <c r="N7" s="262" t="s">
        <v>49</v>
      </c>
      <c r="O7" s="6" t="str">
        <f>$O$6</f>
        <v>BXX</v>
      </c>
      <c r="P7" s="262" t="s">
        <v>1</v>
      </c>
      <c r="Q7" s="6" t="str">
        <f>A6&amp;".RE"</f>
        <v>BXX_OVF1_FI1_DA_EL.RE</v>
      </c>
      <c r="R7" s="262" t="s">
        <v>1</v>
      </c>
      <c r="S7" s="6" t="str">
        <f t="shared" si="3"/>
        <v>Station BXX Overflow Loss of Echo Enable</v>
      </c>
      <c r="T7" s="262">
        <v>0</v>
      </c>
      <c r="U7" s="262">
        <v>0</v>
      </c>
    </row>
    <row r="8" spans="1:23" x14ac:dyDescent="0.25">
      <c r="A8" s="6" t="str">
        <f>$A$3&amp;"_OVF1_FI1_PB_EL_DE"</f>
        <v>BXX_OVF1_FI1_PB_EL_DE</v>
      </c>
      <c r="B8" s="6" t="str">
        <f t="shared" si="1"/>
        <v>BXX</v>
      </c>
      <c r="C8" s="6" t="str">
        <f>$C$3&amp;" Overflow Loss of Echo Dialer En"</f>
        <v>Station BXX Overflow Loss of Echo Dialer En</v>
      </c>
      <c r="D8" s="4">
        <f t="shared" si="2"/>
        <v>43</v>
      </c>
      <c r="E8" s="262" t="s">
        <v>1</v>
      </c>
      <c r="F8" s="262" t="s">
        <v>0</v>
      </c>
      <c r="G8" s="262">
        <v>600</v>
      </c>
      <c r="H8" s="262" t="s">
        <v>0</v>
      </c>
      <c r="I8" s="262" t="s">
        <v>40</v>
      </c>
      <c r="J8" s="262" t="s">
        <v>52</v>
      </c>
      <c r="K8" s="262" t="s">
        <v>53</v>
      </c>
      <c r="L8" s="262" t="s">
        <v>41</v>
      </c>
      <c r="M8" s="220">
        <v>1</v>
      </c>
      <c r="N8" s="262" t="s">
        <v>49</v>
      </c>
      <c r="O8" s="6" t="str">
        <f>$O$6</f>
        <v>BXX</v>
      </c>
      <c r="P8" s="262" t="s">
        <v>1</v>
      </c>
      <c r="Q8" s="6" t="str">
        <f>A6&amp;".DE"</f>
        <v>BXX_OVF1_FI1_DA_EL.DE</v>
      </c>
      <c r="R8" s="262" t="s">
        <v>1</v>
      </c>
      <c r="S8" s="6" t="str">
        <f t="shared" si="3"/>
        <v>Station BXX Overflow Loss of Echo Dialer En</v>
      </c>
      <c r="T8" s="262">
        <v>0</v>
      </c>
      <c r="U8" s="262">
        <v>0</v>
      </c>
    </row>
    <row r="9" spans="1:23" x14ac:dyDescent="0.25">
      <c r="A9" s="6" t="str">
        <f>$A$3&amp;"_OVF1_FI1_PB_EL_SR"</f>
        <v>BXX_OVF1_FI1_PB_EL_SR</v>
      </c>
      <c r="B9" s="6" t="str">
        <f t="shared" si="1"/>
        <v>BXX</v>
      </c>
      <c r="C9" s="6" t="str">
        <f>$C$3&amp;" Overflow Loss of Echo Super En"</f>
        <v>Station BXX Overflow Loss of Echo Super En</v>
      </c>
      <c r="D9" s="4">
        <f t="shared" si="2"/>
        <v>42</v>
      </c>
      <c r="E9" s="262" t="s">
        <v>1</v>
      </c>
      <c r="F9" s="262" t="s">
        <v>0</v>
      </c>
      <c r="G9" s="262">
        <v>600</v>
      </c>
      <c r="H9" s="262" t="s">
        <v>0</v>
      </c>
      <c r="I9" s="262" t="s">
        <v>40</v>
      </c>
      <c r="J9" s="262" t="s">
        <v>52</v>
      </c>
      <c r="K9" s="262" t="s">
        <v>53</v>
      </c>
      <c r="L9" s="262" t="s">
        <v>41</v>
      </c>
      <c r="M9" s="220">
        <v>1</v>
      </c>
      <c r="N9" s="262" t="s">
        <v>49</v>
      </c>
      <c r="O9" s="6" t="str">
        <f>$O$6</f>
        <v>BXX</v>
      </c>
      <c r="P9" s="262" t="s">
        <v>1</v>
      </c>
      <c r="Q9" s="6" t="str">
        <f>A6&amp;".SR"</f>
        <v>BXX_OVF1_FI1_DA_EL.SR</v>
      </c>
      <c r="R9" s="262" t="s">
        <v>1</v>
      </c>
      <c r="S9" s="6" t="str">
        <f t="shared" si="3"/>
        <v>Station BXX Overflow Loss of Echo Super En</v>
      </c>
      <c r="T9" s="262">
        <v>0</v>
      </c>
      <c r="U9" s="262">
        <v>0</v>
      </c>
    </row>
    <row r="10" spans="1:23" x14ac:dyDescent="0.25">
      <c r="A10" s="6" t="str">
        <f>$A$3&amp;"_WW01_LI1_DA_EL"</f>
        <v>BXX_WW01_LI1_DA_EL</v>
      </c>
      <c r="B10" s="6" t="str">
        <f t="shared" si="1"/>
        <v>BXX</v>
      </c>
      <c r="C10" s="6" t="str">
        <f>$C$3&amp;" Wet Well 1 Loss of Echo"</f>
        <v>Station BXX Wet Well 1 Loss of Echo</v>
      </c>
      <c r="D10" s="4">
        <f t="shared" si="2"/>
        <v>35</v>
      </c>
      <c r="E10" s="262" t="s">
        <v>1</v>
      </c>
      <c r="F10" s="262" t="s">
        <v>1</v>
      </c>
      <c r="G10" s="262">
        <v>0</v>
      </c>
      <c r="H10" s="262" t="s">
        <v>0</v>
      </c>
      <c r="I10" s="262" t="s">
        <v>40</v>
      </c>
      <c r="J10" s="262" t="s">
        <v>50</v>
      </c>
      <c r="K10" s="262" t="s">
        <v>51</v>
      </c>
      <c r="L10" s="262" t="s">
        <v>42</v>
      </c>
      <c r="M10" s="220">
        <v>9</v>
      </c>
      <c r="N10" s="262" t="s">
        <v>49</v>
      </c>
      <c r="O10" s="6" t="str">
        <f>[1]BXXPLC1!$C$3</f>
        <v>BXX</v>
      </c>
      <c r="P10" s="262" t="s">
        <v>1</v>
      </c>
      <c r="Q10" s="6" t="str">
        <f>A10&amp;".eng"</f>
        <v>BXX_WW01_LI1_DA_EL.eng</v>
      </c>
      <c r="R10" s="262" t="s">
        <v>1</v>
      </c>
      <c r="S10" s="6" t="str">
        <f t="shared" si="3"/>
        <v>Station BXX Wet Well 1 Loss of Echo</v>
      </c>
      <c r="T10" s="262">
        <v>0</v>
      </c>
      <c r="U10" s="262">
        <v>0</v>
      </c>
    </row>
    <row r="11" spans="1:23" x14ac:dyDescent="0.25">
      <c r="A11" s="6" t="str">
        <f>$A$3&amp;"_WW01_LI1_PB_EL_RE"</f>
        <v>BXX_WW01_LI1_PB_EL_RE</v>
      </c>
      <c r="B11" s="6" t="str">
        <f t="shared" si="1"/>
        <v>BXX</v>
      </c>
      <c r="C11" s="6" t="str">
        <f>$C$3&amp;" Wet Well 1 Loss of Echo Enable"</f>
        <v>Station BXX Wet Well 1 Loss of Echo Enable</v>
      </c>
      <c r="D11" s="4">
        <f t="shared" si="2"/>
        <v>42</v>
      </c>
      <c r="E11" s="262" t="s">
        <v>1</v>
      </c>
      <c r="F11" s="262" t="s">
        <v>0</v>
      </c>
      <c r="G11" s="262">
        <v>600</v>
      </c>
      <c r="H11" s="262" t="s">
        <v>0</v>
      </c>
      <c r="I11" s="262" t="s">
        <v>40</v>
      </c>
      <c r="J11" s="262" t="s">
        <v>52</v>
      </c>
      <c r="K11" s="262" t="s">
        <v>53</v>
      </c>
      <c r="L11" s="262" t="s">
        <v>41</v>
      </c>
      <c r="M11" s="220">
        <v>1</v>
      </c>
      <c r="N11" s="262" t="s">
        <v>49</v>
      </c>
      <c r="O11" s="6" t="str">
        <f>$O$6</f>
        <v>BXX</v>
      </c>
      <c r="P11" s="262" t="s">
        <v>1</v>
      </c>
      <c r="Q11" s="6" t="str">
        <f>A10&amp;".RE"</f>
        <v>BXX_WW01_LI1_DA_EL.RE</v>
      </c>
      <c r="R11" s="262" t="s">
        <v>1</v>
      </c>
      <c r="S11" s="6" t="str">
        <f t="shared" si="3"/>
        <v>Station BXX Wet Well 1 Loss of Echo Enable</v>
      </c>
      <c r="T11" s="262">
        <v>0</v>
      </c>
      <c r="U11" s="262">
        <v>0</v>
      </c>
    </row>
    <row r="12" spans="1:23" x14ac:dyDescent="0.25">
      <c r="A12" s="6" t="str">
        <f>$A$3&amp;"_WW01_LI1_PB_EL_DE"</f>
        <v>BXX_WW01_LI1_PB_EL_DE</v>
      </c>
      <c r="B12" s="6" t="str">
        <f t="shared" si="1"/>
        <v>BXX</v>
      </c>
      <c r="C12" s="6" t="str">
        <f>$C$3&amp;" Wet Well 1 Loss of Echo Dialer En"</f>
        <v>Station BXX Wet Well 1 Loss of Echo Dialer En</v>
      </c>
      <c r="D12" s="4">
        <f t="shared" si="2"/>
        <v>45</v>
      </c>
      <c r="E12" s="262" t="s">
        <v>1</v>
      </c>
      <c r="F12" s="262" t="s">
        <v>0</v>
      </c>
      <c r="G12" s="262">
        <v>600</v>
      </c>
      <c r="H12" s="262" t="s">
        <v>0</v>
      </c>
      <c r="I12" s="262" t="s">
        <v>40</v>
      </c>
      <c r="J12" s="262" t="s">
        <v>52</v>
      </c>
      <c r="K12" s="262" t="s">
        <v>53</v>
      </c>
      <c r="L12" s="262" t="s">
        <v>41</v>
      </c>
      <c r="M12" s="220">
        <v>1</v>
      </c>
      <c r="N12" s="262" t="s">
        <v>49</v>
      </c>
      <c r="O12" s="6" t="str">
        <f>$O$6</f>
        <v>BXX</v>
      </c>
      <c r="P12" s="262" t="s">
        <v>1</v>
      </c>
      <c r="Q12" s="6" t="str">
        <f>A10&amp;".DE"</f>
        <v>BXX_WW01_LI1_DA_EL.DE</v>
      </c>
      <c r="R12" s="262" t="s">
        <v>1</v>
      </c>
      <c r="S12" s="6" t="str">
        <f t="shared" si="3"/>
        <v>Station BXX Wet Well 1 Loss of Echo Dialer En</v>
      </c>
      <c r="T12" s="262">
        <v>0</v>
      </c>
      <c r="U12" s="262">
        <v>0</v>
      </c>
    </row>
    <row r="13" spans="1:23" x14ac:dyDescent="0.25">
      <c r="A13" s="6" t="str">
        <f>$A$3&amp;"_WW01_LI1_PB_EL_SR"</f>
        <v>BXX_WW01_LI1_PB_EL_SR</v>
      </c>
      <c r="B13" s="6" t="str">
        <f t="shared" si="1"/>
        <v>BXX</v>
      </c>
      <c r="C13" s="6" t="str">
        <f>$C$3&amp;" Wet Well 1 Loss of Echo Super En"</f>
        <v>Station BXX Wet Well 1 Loss of Echo Super En</v>
      </c>
      <c r="D13" s="4">
        <f t="shared" si="2"/>
        <v>44</v>
      </c>
      <c r="E13" s="262" t="s">
        <v>1</v>
      </c>
      <c r="F13" s="262" t="s">
        <v>0</v>
      </c>
      <c r="G13" s="262">
        <v>600</v>
      </c>
      <c r="H13" s="262" t="s">
        <v>0</v>
      </c>
      <c r="I13" s="262" t="s">
        <v>40</v>
      </c>
      <c r="J13" s="262" t="s">
        <v>52</v>
      </c>
      <c r="K13" s="262" t="s">
        <v>53</v>
      </c>
      <c r="L13" s="262" t="s">
        <v>41</v>
      </c>
      <c r="M13" s="220">
        <v>1</v>
      </c>
      <c r="N13" s="262" t="s">
        <v>49</v>
      </c>
      <c r="O13" s="6" t="str">
        <f>$O$6</f>
        <v>BXX</v>
      </c>
      <c r="P13" s="262" t="s">
        <v>1</v>
      </c>
      <c r="Q13" s="6" t="str">
        <f>A10&amp;".SR"</f>
        <v>BXX_WW01_LI1_DA_EL.SR</v>
      </c>
      <c r="R13" s="262" t="s">
        <v>1</v>
      </c>
      <c r="S13" s="6" t="str">
        <f t="shared" si="3"/>
        <v>Station BXX Wet Well 1 Loss of Echo Super En</v>
      </c>
      <c r="T13" s="262">
        <v>0</v>
      </c>
      <c r="U13" s="262">
        <v>0</v>
      </c>
    </row>
    <row r="14" spans="1:23" x14ac:dyDescent="0.25">
      <c r="A14" s="6" t="str">
        <f>$A$3&amp;"_WW01_LE1_DA_HH"</f>
        <v>BXX_WW01_LE1_DA_HH</v>
      </c>
      <c r="B14" s="6" t="str">
        <f t="shared" si="1"/>
        <v>BXX</v>
      </c>
      <c r="C14" s="6" t="str">
        <f>$C$3&amp;" Wet Well 1 High Level Float"</f>
        <v>Station BXX Wet Well 1 High Level Float</v>
      </c>
      <c r="D14" s="4">
        <f t="shared" si="2"/>
        <v>39</v>
      </c>
      <c r="E14" s="262" t="s">
        <v>1</v>
      </c>
      <c r="F14" s="262" t="s">
        <v>1</v>
      </c>
      <c r="G14" s="262">
        <v>0</v>
      </c>
      <c r="H14" s="262" t="s">
        <v>0</v>
      </c>
      <c r="I14" s="262" t="s">
        <v>40</v>
      </c>
      <c r="J14" s="262" t="s">
        <v>50</v>
      </c>
      <c r="K14" s="262" t="s">
        <v>51</v>
      </c>
      <c r="L14" s="262" t="s">
        <v>42</v>
      </c>
      <c r="M14" s="220">
        <v>9</v>
      </c>
      <c r="N14" s="262" t="s">
        <v>49</v>
      </c>
      <c r="O14" s="6" t="str">
        <f>[1]BXXPLC1!$C$3</f>
        <v>BXX</v>
      </c>
      <c r="P14" s="262" t="s">
        <v>1</v>
      </c>
      <c r="Q14" s="6" t="str">
        <f>A14&amp;".eng"</f>
        <v>BXX_WW01_LE1_DA_HH.eng</v>
      </c>
      <c r="R14" s="262" t="s">
        <v>1</v>
      </c>
      <c r="S14" s="6" t="str">
        <f t="shared" si="3"/>
        <v>Station BXX Wet Well 1 High Level Float</v>
      </c>
      <c r="T14" s="262">
        <v>0</v>
      </c>
      <c r="U14" s="262">
        <v>0</v>
      </c>
    </row>
    <row r="15" spans="1:23" x14ac:dyDescent="0.25">
      <c r="A15" s="6" t="str">
        <f>$A$3&amp;"_WW01_LE1_PB_HH_RE"</f>
        <v>BXX_WW01_LE1_PB_HH_RE</v>
      </c>
      <c r="B15" s="6" t="str">
        <f t="shared" si="1"/>
        <v>BXX</v>
      </c>
      <c r="C15" s="6" t="str">
        <f>$C$3&amp;" Wet Well 1 High Level Float Enable"</f>
        <v>Station BXX Wet Well 1 High Level Float Enable</v>
      </c>
      <c r="D15" s="4">
        <f t="shared" si="2"/>
        <v>46</v>
      </c>
      <c r="E15" s="262" t="s">
        <v>1</v>
      </c>
      <c r="F15" s="262" t="s">
        <v>0</v>
      </c>
      <c r="G15" s="262">
        <v>600</v>
      </c>
      <c r="H15" s="262" t="s">
        <v>0</v>
      </c>
      <c r="I15" s="262" t="s">
        <v>40</v>
      </c>
      <c r="J15" s="262" t="s">
        <v>52</v>
      </c>
      <c r="K15" s="262" t="s">
        <v>53</v>
      </c>
      <c r="L15" s="262" t="s">
        <v>41</v>
      </c>
      <c r="M15" s="220">
        <v>1</v>
      </c>
      <c r="N15" s="262" t="s">
        <v>49</v>
      </c>
      <c r="O15" s="6" t="str">
        <f>$O$6</f>
        <v>BXX</v>
      </c>
      <c r="P15" s="262" t="s">
        <v>1</v>
      </c>
      <c r="Q15" s="6" t="str">
        <f>A14&amp;".RE"</f>
        <v>BXX_WW01_LE1_DA_HH.RE</v>
      </c>
      <c r="R15" s="262" t="s">
        <v>1</v>
      </c>
      <c r="S15" s="6" t="str">
        <f t="shared" si="3"/>
        <v>Station BXX Wet Well 1 High Level Float Enable</v>
      </c>
      <c r="T15" s="262">
        <v>0</v>
      </c>
      <c r="U15" s="262">
        <v>0</v>
      </c>
    </row>
    <row r="16" spans="1:23" x14ac:dyDescent="0.25">
      <c r="A16" s="6" t="str">
        <f>$A$3&amp;"_WW01_LE1_PB_HH_DE"</f>
        <v>BXX_WW01_LE1_PB_HH_DE</v>
      </c>
      <c r="B16" s="6" t="str">
        <f t="shared" si="1"/>
        <v>BXX</v>
      </c>
      <c r="C16" s="6" t="str">
        <f>$C$3&amp;" Wet Well 1 High Level Float Dialer En"</f>
        <v>Station BXX Wet Well 1 High Level Float Dialer En</v>
      </c>
      <c r="D16" s="4">
        <f t="shared" si="2"/>
        <v>49</v>
      </c>
      <c r="E16" s="262" t="s">
        <v>1</v>
      </c>
      <c r="F16" s="262" t="s">
        <v>0</v>
      </c>
      <c r="G16" s="262">
        <v>600</v>
      </c>
      <c r="H16" s="262" t="s">
        <v>0</v>
      </c>
      <c r="I16" s="262" t="s">
        <v>40</v>
      </c>
      <c r="J16" s="262" t="s">
        <v>52</v>
      </c>
      <c r="K16" s="262" t="s">
        <v>53</v>
      </c>
      <c r="L16" s="262" t="s">
        <v>41</v>
      </c>
      <c r="M16" s="220">
        <v>1</v>
      </c>
      <c r="N16" s="262" t="s">
        <v>49</v>
      </c>
      <c r="O16" s="6" t="str">
        <f>$O$6</f>
        <v>BXX</v>
      </c>
      <c r="P16" s="262" t="s">
        <v>1</v>
      </c>
      <c r="Q16" s="6" t="str">
        <f>A14&amp;".DE"</f>
        <v>BXX_WW01_LE1_DA_HH.DE</v>
      </c>
      <c r="R16" s="262" t="s">
        <v>1</v>
      </c>
      <c r="S16" s="6" t="str">
        <f t="shared" si="3"/>
        <v>Station BXX Wet Well 1 High Level Float Dialer En</v>
      </c>
      <c r="T16" s="262">
        <v>0</v>
      </c>
      <c r="U16" s="262">
        <v>0</v>
      </c>
    </row>
    <row r="17" spans="1:21" x14ac:dyDescent="0.25">
      <c r="A17" s="6" t="str">
        <f>$A$3&amp;"_WW01_LE1_PB_HH_SR"</f>
        <v>BXX_WW01_LE1_PB_HH_SR</v>
      </c>
      <c r="B17" s="6" t="str">
        <f t="shared" si="1"/>
        <v>BXX</v>
      </c>
      <c r="C17" s="6" t="str">
        <f>$C$3&amp;" Wet Well 1 High Level Float Super En"</f>
        <v>Station BXX Wet Well 1 High Level Float Super En</v>
      </c>
      <c r="D17" s="4">
        <f t="shared" si="2"/>
        <v>48</v>
      </c>
      <c r="E17" s="262" t="s">
        <v>1</v>
      </c>
      <c r="F17" s="262" t="s">
        <v>0</v>
      </c>
      <c r="G17" s="262">
        <v>600</v>
      </c>
      <c r="H17" s="262" t="s">
        <v>0</v>
      </c>
      <c r="I17" s="262" t="s">
        <v>40</v>
      </c>
      <c r="J17" s="262" t="s">
        <v>52</v>
      </c>
      <c r="K17" s="262" t="s">
        <v>53</v>
      </c>
      <c r="L17" s="262" t="s">
        <v>41</v>
      </c>
      <c r="M17" s="220">
        <v>1</v>
      </c>
      <c r="N17" s="262" t="s">
        <v>49</v>
      </c>
      <c r="O17" s="6" t="str">
        <f>$O$6</f>
        <v>BXX</v>
      </c>
      <c r="P17" s="262" t="s">
        <v>1</v>
      </c>
      <c r="Q17" s="6" t="str">
        <f>A14&amp;".SR"</f>
        <v>BXX_WW01_LE1_DA_HH.SR</v>
      </c>
      <c r="R17" s="262" t="s">
        <v>1</v>
      </c>
      <c r="S17" s="6" t="str">
        <f t="shared" si="3"/>
        <v>Station BXX Wet Well 1 High Level Float Super En</v>
      </c>
      <c r="T17" s="262">
        <v>0</v>
      </c>
      <c r="U17" s="262">
        <v>0</v>
      </c>
    </row>
    <row r="18" spans="1:21" x14ac:dyDescent="0.25">
      <c r="A18" s="6" t="str">
        <f>$A$3&amp;"_WW02_LI1_DA_EL"</f>
        <v>BXX_WW02_LI1_DA_EL</v>
      </c>
      <c r="B18" s="6" t="str">
        <f t="shared" si="1"/>
        <v>BXX</v>
      </c>
      <c r="C18" s="6" t="str">
        <f>$C$3&amp;" Wet Well 2 Loss of Echo"</f>
        <v>Station BXX Wet Well 2 Loss of Echo</v>
      </c>
      <c r="D18" s="4">
        <f t="shared" si="2"/>
        <v>35</v>
      </c>
      <c r="E18" s="262" t="s">
        <v>1</v>
      </c>
      <c r="F18" s="262" t="s">
        <v>1</v>
      </c>
      <c r="G18" s="262">
        <v>0</v>
      </c>
      <c r="H18" s="262" t="s">
        <v>0</v>
      </c>
      <c r="I18" s="262" t="s">
        <v>40</v>
      </c>
      <c r="J18" s="262" t="s">
        <v>50</v>
      </c>
      <c r="K18" s="262" t="s">
        <v>51</v>
      </c>
      <c r="L18" s="262" t="s">
        <v>42</v>
      </c>
      <c r="M18" s="220">
        <v>9</v>
      </c>
      <c r="N18" s="262" t="s">
        <v>49</v>
      </c>
      <c r="O18" s="6" t="str">
        <f>[1]BXXPLC1!$C$3</f>
        <v>BXX</v>
      </c>
      <c r="P18" s="262" t="s">
        <v>1</v>
      </c>
      <c r="Q18" s="6" t="str">
        <f>A18&amp;".eng"</f>
        <v>BXX_WW02_LI1_DA_EL.eng</v>
      </c>
      <c r="R18" s="262" t="s">
        <v>1</v>
      </c>
      <c r="S18" s="6" t="str">
        <f t="shared" si="3"/>
        <v>Station BXX Wet Well 2 Loss of Echo</v>
      </c>
      <c r="T18" s="262">
        <v>0</v>
      </c>
      <c r="U18" s="262">
        <v>0</v>
      </c>
    </row>
    <row r="19" spans="1:21" x14ac:dyDescent="0.25">
      <c r="A19" s="6" t="str">
        <f>$A$3&amp;"_WW02_LI1_PB_EL_RE"</f>
        <v>BXX_WW02_LI1_PB_EL_RE</v>
      </c>
      <c r="B19" s="6" t="str">
        <f t="shared" si="1"/>
        <v>BXX</v>
      </c>
      <c r="C19" s="6" t="str">
        <f>$C$3&amp;" Wet Well 2 Loss of Echo Enable"</f>
        <v>Station BXX Wet Well 2 Loss of Echo Enable</v>
      </c>
      <c r="D19" s="4">
        <f t="shared" si="2"/>
        <v>42</v>
      </c>
      <c r="E19" s="262" t="s">
        <v>1</v>
      </c>
      <c r="F19" s="262" t="s">
        <v>0</v>
      </c>
      <c r="G19" s="262">
        <v>600</v>
      </c>
      <c r="H19" s="262" t="s">
        <v>0</v>
      </c>
      <c r="I19" s="262" t="s">
        <v>40</v>
      </c>
      <c r="J19" s="262" t="s">
        <v>52</v>
      </c>
      <c r="K19" s="262" t="s">
        <v>53</v>
      </c>
      <c r="L19" s="262" t="s">
        <v>41</v>
      </c>
      <c r="M19" s="220">
        <v>1</v>
      </c>
      <c r="N19" s="262" t="s">
        <v>49</v>
      </c>
      <c r="O19" s="6" t="str">
        <f>$O$6</f>
        <v>BXX</v>
      </c>
      <c r="P19" s="262" t="s">
        <v>1</v>
      </c>
      <c r="Q19" s="6" t="str">
        <f>A18&amp;".RE"</f>
        <v>BXX_WW02_LI1_DA_EL.RE</v>
      </c>
      <c r="R19" s="262" t="s">
        <v>1</v>
      </c>
      <c r="S19" s="6" t="str">
        <f t="shared" si="3"/>
        <v>Station BXX Wet Well 2 Loss of Echo Enable</v>
      </c>
      <c r="T19" s="262">
        <v>0</v>
      </c>
      <c r="U19" s="262">
        <v>0</v>
      </c>
    </row>
    <row r="20" spans="1:21" x14ac:dyDescent="0.25">
      <c r="A20" s="6" t="str">
        <f>$A$3&amp;"_WW02_LI1_PB_EL_DE"</f>
        <v>BXX_WW02_LI1_PB_EL_DE</v>
      </c>
      <c r="B20" s="6" t="str">
        <f t="shared" si="1"/>
        <v>BXX</v>
      </c>
      <c r="C20" s="6" t="str">
        <f>$C$3&amp;" Wet Well 2 Loss of Echo Dialer En"</f>
        <v>Station BXX Wet Well 2 Loss of Echo Dialer En</v>
      </c>
      <c r="D20" s="4">
        <f t="shared" si="2"/>
        <v>45</v>
      </c>
      <c r="E20" s="262" t="s">
        <v>1</v>
      </c>
      <c r="F20" s="262" t="s">
        <v>0</v>
      </c>
      <c r="G20" s="262">
        <v>600</v>
      </c>
      <c r="H20" s="262" t="s">
        <v>0</v>
      </c>
      <c r="I20" s="262" t="s">
        <v>40</v>
      </c>
      <c r="J20" s="262" t="s">
        <v>52</v>
      </c>
      <c r="K20" s="262" t="s">
        <v>53</v>
      </c>
      <c r="L20" s="262" t="s">
        <v>41</v>
      </c>
      <c r="M20" s="220">
        <v>1</v>
      </c>
      <c r="N20" s="262" t="s">
        <v>49</v>
      </c>
      <c r="O20" s="6" t="str">
        <f>$O$6</f>
        <v>BXX</v>
      </c>
      <c r="P20" s="262" t="s">
        <v>1</v>
      </c>
      <c r="Q20" s="6" t="str">
        <f>A18&amp;".DE"</f>
        <v>BXX_WW02_LI1_DA_EL.DE</v>
      </c>
      <c r="R20" s="262" t="s">
        <v>1</v>
      </c>
      <c r="S20" s="6" t="str">
        <f t="shared" si="3"/>
        <v>Station BXX Wet Well 2 Loss of Echo Dialer En</v>
      </c>
      <c r="T20" s="262">
        <v>0</v>
      </c>
      <c r="U20" s="262">
        <v>0</v>
      </c>
    </row>
    <row r="21" spans="1:21" x14ac:dyDescent="0.25">
      <c r="A21" s="6" t="str">
        <f>$A$3&amp;"_WW02_LI1_PB_EL_SR"</f>
        <v>BXX_WW02_LI1_PB_EL_SR</v>
      </c>
      <c r="B21" s="6" t="str">
        <f t="shared" si="1"/>
        <v>BXX</v>
      </c>
      <c r="C21" s="6" t="str">
        <f>$C$3&amp;" Wet Well 2 Loss of Echo Super En"</f>
        <v>Station BXX Wet Well 2 Loss of Echo Super En</v>
      </c>
      <c r="D21" s="4">
        <f t="shared" si="2"/>
        <v>44</v>
      </c>
      <c r="E21" s="262" t="s">
        <v>1</v>
      </c>
      <c r="F21" s="262" t="s">
        <v>0</v>
      </c>
      <c r="G21" s="262">
        <v>600</v>
      </c>
      <c r="H21" s="262" t="s">
        <v>0</v>
      </c>
      <c r="I21" s="262" t="s">
        <v>40</v>
      </c>
      <c r="J21" s="262" t="s">
        <v>52</v>
      </c>
      <c r="K21" s="262" t="s">
        <v>53</v>
      </c>
      <c r="L21" s="262" t="s">
        <v>41</v>
      </c>
      <c r="M21" s="220">
        <v>1</v>
      </c>
      <c r="N21" s="262" t="s">
        <v>49</v>
      </c>
      <c r="O21" s="6" t="str">
        <f>$O$6</f>
        <v>BXX</v>
      </c>
      <c r="P21" s="262" t="s">
        <v>1</v>
      </c>
      <c r="Q21" s="6" t="str">
        <f>A18&amp;".SR"</f>
        <v>BXX_WW02_LI1_DA_EL.SR</v>
      </c>
      <c r="R21" s="262" t="s">
        <v>1</v>
      </c>
      <c r="S21" s="6" t="str">
        <f t="shared" si="3"/>
        <v>Station BXX Wet Well 2 Loss of Echo Super En</v>
      </c>
      <c r="T21" s="262">
        <v>0</v>
      </c>
      <c r="U21" s="262">
        <v>0</v>
      </c>
    </row>
    <row r="22" spans="1:21" x14ac:dyDescent="0.25">
      <c r="A22" s="6" t="str">
        <f>$A$3&amp;"_WW02_LE1_DA_HH"</f>
        <v>BXX_WW02_LE1_DA_HH</v>
      </c>
      <c r="B22" s="6" t="str">
        <f t="shared" si="1"/>
        <v>BXX</v>
      </c>
      <c r="C22" s="6" t="str">
        <f>$C$3&amp;" Wet Well 2 High Level Float"</f>
        <v>Station BXX Wet Well 2 High Level Float</v>
      </c>
      <c r="D22" s="4">
        <f t="shared" si="2"/>
        <v>39</v>
      </c>
      <c r="E22" s="262" t="s">
        <v>1</v>
      </c>
      <c r="F22" s="262" t="s">
        <v>1</v>
      </c>
      <c r="G22" s="262">
        <v>0</v>
      </c>
      <c r="H22" s="262" t="s">
        <v>0</v>
      </c>
      <c r="I22" s="262" t="s">
        <v>40</v>
      </c>
      <c r="J22" s="262" t="s">
        <v>50</v>
      </c>
      <c r="K22" s="262" t="s">
        <v>51</v>
      </c>
      <c r="L22" s="262" t="s">
        <v>42</v>
      </c>
      <c r="M22" s="220">
        <v>9</v>
      </c>
      <c r="N22" s="262" t="s">
        <v>49</v>
      </c>
      <c r="O22" s="6" t="str">
        <f>[1]BXXPLC1!$C$3</f>
        <v>BXX</v>
      </c>
      <c r="P22" s="262" t="s">
        <v>1</v>
      </c>
      <c r="Q22" s="6" t="str">
        <f>A22&amp;".eng"</f>
        <v>BXX_WW02_LE1_DA_HH.eng</v>
      </c>
      <c r="R22" s="262" t="s">
        <v>1</v>
      </c>
      <c r="S22" s="6" t="str">
        <f t="shared" si="3"/>
        <v>Station BXX Wet Well 2 High Level Float</v>
      </c>
      <c r="T22" s="262">
        <v>0</v>
      </c>
      <c r="U22" s="262">
        <v>0</v>
      </c>
    </row>
    <row r="23" spans="1:21" x14ac:dyDescent="0.25">
      <c r="A23" s="6" t="str">
        <f>$A$3&amp;"_WW02_LE1_PB_HH_RE"</f>
        <v>BXX_WW02_LE1_PB_HH_RE</v>
      </c>
      <c r="B23" s="6" t="str">
        <f t="shared" si="1"/>
        <v>BXX</v>
      </c>
      <c r="C23" s="6" t="str">
        <f>$C$3&amp;" Wet Well 2 High Level Float Enable"</f>
        <v>Station BXX Wet Well 2 High Level Float Enable</v>
      </c>
      <c r="D23" s="4">
        <f t="shared" si="2"/>
        <v>46</v>
      </c>
      <c r="E23" s="262" t="s">
        <v>1</v>
      </c>
      <c r="F23" s="262" t="s">
        <v>0</v>
      </c>
      <c r="G23" s="262">
        <v>600</v>
      </c>
      <c r="H23" s="262" t="s">
        <v>0</v>
      </c>
      <c r="I23" s="262" t="s">
        <v>40</v>
      </c>
      <c r="J23" s="262" t="s">
        <v>52</v>
      </c>
      <c r="K23" s="262" t="s">
        <v>53</v>
      </c>
      <c r="L23" s="262" t="s">
        <v>41</v>
      </c>
      <c r="M23" s="220">
        <v>1</v>
      </c>
      <c r="N23" s="262" t="s">
        <v>49</v>
      </c>
      <c r="O23" s="6" t="str">
        <f>$O$6</f>
        <v>BXX</v>
      </c>
      <c r="P23" s="262" t="s">
        <v>1</v>
      </c>
      <c r="Q23" s="6" t="str">
        <f>A22&amp;".RE"</f>
        <v>BXX_WW02_LE1_DA_HH.RE</v>
      </c>
      <c r="R23" s="262" t="s">
        <v>1</v>
      </c>
      <c r="S23" s="6" t="str">
        <f t="shared" si="3"/>
        <v>Station BXX Wet Well 2 High Level Float Enable</v>
      </c>
      <c r="T23" s="262">
        <v>0</v>
      </c>
      <c r="U23" s="262">
        <v>0</v>
      </c>
    </row>
    <row r="24" spans="1:21" x14ac:dyDescent="0.25">
      <c r="A24" s="6" t="str">
        <f>$A$3&amp;"_WW02_LE1_PB_HH_DE"</f>
        <v>BXX_WW02_LE1_PB_HH_DE</v>
      </c>
      <c r="B24" s="6" t="str">
        <f t="shared" si="1"/>
        <v>BXX</v>
      </c>
      <c r="C24" s="6" t="str">
        <f>$C$3&amp;" Wet Well 2 High Level Float Dialer En"</f>
        <v>Station BXX Wet Well 2 High Level Float Dialer En</v>
      </c>
      <c r="D24" s="4">
        <f t="shared" si="2"/>
        <v>49</v>
      </c>
      <c r="E24" s="262" t="s">
        <v>1</v>
      </c>
      <c r="F24" s="262" t="s">
        <v>0</v>
      </c>
      <c r="G24" s="262">
        <v>600</v>
      </c>
      <c r="H24" s="262" t="s">
        <v>0</v>
      </c>
      <c r="I24" s="262" t="s">
        <v>40</v>
      </c>
      <c r="J24" s="262" t="s">
        <v>52</v>
      </c>
      <c r="K24" s="262" t="s">
        <v>53</v>
      </c>
      <c r="L24" s="262" t="s">
        <v>41</v>
      </c>
      <c r="M24" s="220">
        <v>1</v>
      </c>
      <c r="N24" s="262" t="s">
        <v>49</v>
      </c>
      <c r="O24" s="6" t="str">
        <f>$O$6</f>
        <v>BXX</v>
      </c>
      <c r="P24" s="262" t="s">
        <v>1</v>
      </c>
      <c r="Q24" s="6" t="str">
        <f>A22&amp;".DE"</f>
        <v>BXX_WW02_LE1_DA_HH.DE</v>
      </c>
      <c r="R24" s="262" t="s">
        <v>1</v>
      </c>
      <c r="S24" s="6" t="str">
        <f t="shared" si="3"/>
        <v>Station BXX Wet Well 2 High Level Float Dialer En</v>
      </c>
      <c r="T24" s="262">
        <v>0</v>
      </c>
      <c r="U24" s="262">
        <v>0</v>
      </c>
    </row>
    <row r="25" spans="1:21" x14ac:dyDescent="0.25">
      <c r="A25" s="6" t="str">
        <f>$A$3&amp;"_WW02_LE1_PB_HH_SR"</f>
        <v>BXX_WW02_LE1_PB_HH_SR</v>
      </c>
      <c r="B25" s="6" t="str">
        <f t="shared" si="1"/>
        <v>BXX</v>
      </c>
      <c r="C25" s="6" t="str">
        <f>$C$3&amp;" Wet Well 2 High Level Float Super En"</f>
        <v>Station BXX Wet Well 2 High Level Float Super En</v>
      </c>
      <c r="D25" s="4">
        <f t="shared" si="2"/>
        <v>48</v>
      </c>
      <c r="E25" s="262" t="s">
        <v>1</v>
      </c>
      <c r="F25" s="262" t="s">
        <v>0</v>
      </c>
      <c r="G25" s="262">
        <v>600</v>
      </c>
      <c r="H25" s="262" t="s">
        <v>0</v>
      </c>
      <c r="I25" s="262" t="s">
        <v>40</v>
      </c>
      <c r="J25" s="262" t="s">
        <v>52</v>
      </c>
      <c r="K25" s="262" t="s">
        <v>53</v>
      </c>
      <c r="L25" s="262" t="s">
        <v>41</v>
      </c>
      <c r="M25" s="220">
        <v>1</v>
      </c>
      <c r="N25" s="262" t="s">
        <v>49</v>
      </c>
      <c r="O25" s="6" t="str">
        <f>$O$6</f>
        <v>BXX</v>
      </c>
      <c r="P25" s="262" t="s">
        <v>1</v>
      </c>
      <c r="Q25" s="6" t="str">
        <f>A22&amp;".SR"</f>
        <v>BXX_WW02_LE1_DA_HH.SR</v>
      </c>
      <c r="R25" s="262" t="s">
        <v>1</v>
      </c>
      <c r="S25" s="6" t="str">
        <f t="shared" si="3"/>
        <v>Station BXX Wet Well 2 High Level Float Super En</v>
      </c>
      <c r="T25" s="262">
        <v>0</v>
      </c>
      <c r="U25" s="262">
        <v>0</v>
      </c>
    </row>
    <row r="26" spans="1:21" x14ac:dyDescent="0.25">
      <c r="A26" s="6" t="str">
        <f>$A$3&amp;"_PSB1_CP1_DA_JR"</f>
        <v>BXX_PSB1_CP1_DA_JR</v>
      </c>
      <c r="B26" s="6" t="str">
        <f t="shared" si="1"/>
        <v>BXX</v>
      </c>
      <c r="C26" s="6" t="str">
        <f>$C$3&amp;" Control Power Failure"</f>
        <v>Station BXX Control Power Failure</v>
      </c>
      <c r="D26" s="4">
        <f t="shared" si="2"/>
        <v>33</v>
      </c>
      <c r="E26" s="262" t="s">
        <v>1</v>
      </c>
      <c r="F26" s="262" t="s">
        <v>1</v>
      </c>
      <c r="G26" s="262">
        <v>0</v>
      </c>
      <c r="H26" s="262" t="s">
        <v>0</v>
      </c>
      <c r="I26" s="262" t="s">
        <v>40</v>
      </c>
      <c r="J26" s="262" t="s">
        <v>50</v>
      </c>
      <c r="K26" s="262" t="s">
        <v>51</v>
      </c>
      <c r="L26" s="262" t="s">
        <v>42</v>
      </c>
      <c r="M26" s="220">
        <v>48</v>
      </c>
      <c r="N26" s="262" t="s">
        <v>49</v>
      </c>
      <c r="O26" s="6" t="str">
        <f>[1]BXXPLC1!$C$3</f>
        <v>BXX</v>
      </c>
      <c r="P26" s="262" t="s">
        <v>1</v>
      </c>
      <c r="Q26" s="6" t="str">
        <f>A26&amp;".eng"</f>
        <v>BXX_PSB1_CP1_DA_JR.eng</v>
      </c>
      <c r="R26" s="262" t="s">
        <v>1</v>
      </c>
      <c r="S26" s="6" t="str">
        <f t="shared" si="3"/>
        <v>Station BXX Control Power Failure</v>
      </c>
      <c r="T26" s="262">
        <v>0</v>
      </c>
      <c r="U26" s="262">
        <v>0</v>
      </c>
    </row>
    <row r="27" spans="1:21" x14ac:dyDescent="0.25">
      <c r="A27" s="6" t="str">
        <f>LEFT(A26,12)&amp;"_PB_"&amp;RIGHT(A26,2)&amp;"_RE"</f>
        <v>BXX_PSB1_CP1_PB_JR_RE</v>
      </c>
      <c r="B27" s="6" t="str">
        <f t="shared" si="1"/>
        <v>BXX</v>
      </c>
      <c r="C27" s="6" t="str">
        <f>C26 &amp;" Enable"</f>
        <v>Station BXX Control Power Failure Enable</v>
      </c>
      <c r="D27" s="4">
        <f t="shared" si="2"/>
        <v>40</v>
      </c>
      <c r="E27" s="262" t="s">
        <v>1</v>
      </c>
      <c r="F27" s="262" t="s">
        <v>0</v>
      </c>
      <c r="G27" s="262">
        <v>600</v>
      </c>
      <c r="H27" s="262" t="s">
        <v>0</v>
      </c>
      <c r="I27" s="262" t="s">
        <v>40</v>
      </c>
      <c r="J27" s="262" t="s">
        <v>52</v>
      </c>
      <c r="K27" s="262" t="s">
        <v>53</v>
      </c>
      <c r="L27" s="262" t="s">
        <v>41</v>
      </c>
      <c r="M27" s="220">
        <v>1</v>
      </c>
      <c r="N27" s="262" t="s">
        <v>49</v>
      </c>
      <c r="O27" s="6" t="str">
        <f>$O$6</f>
        <v>BXX</v>
      </c>
      <c r="P27" s="262" t="s">
        <v>1</v>
      </c>
      <c r="Q27" s="6" t="str">
        <f>A26&amp;".RE"</f>
        <v>BXX_PSB1_CP1_DA_JR.RE</v>
      </c>
      <c r="R27" s="262" t="s">
        <v>1</v>
      </c>
      <c r="S27" s="6" t="str">
        <f t="shared" si="3"/>
        <v>Station BXX Control Power Failure Enable</v>
      </c>
      <c r="T27" s="262">
        <v>0</v>
      </c>
      <c r="U27" s="262">
        <v>0</v>
      </c>
    </row>
    <row r="28" spans="1:21" x14ac:dyDescent="0.25">
      <c r="A28" s="6" t="str">
        <f>LEFT(A26,12)&amp;"_PB_"&amp;RIGHT(A26,2)&amp;"_DE"</f>
        <v>BXX_PSB1_CP1_PB_JR_DE</v>
      </c>
      <c r="B28" s="6" t="str">
        <f t="shared" si="1"/>
        <v>BXX</v>
      </c>
      <c r="C28" s="6" t="str">
        <f>$C26&amp;" Dialer En"</f>
        <v>Station BXX Control Power Failure Dialer En</v>
      </c>
      <c r="D28" s="4">
        <f t="shared" si="2"/>
        <v>43</v>
      </c>
      <c r="E28" s="262" t="s">
        <v>1</v>
      </c>
      <c r="F28" s="262" t="s">
        <v>0</v>
      </c>
      <c r="G28" s="262">
        <v>600</v>
      </c>
      <c r="H28" s="262" t="s">
        <v>0</v>
      </c>
      <c r="I28" s="262" t="s">
        <v>40</v>
      </c>
      <c r="J28" s="262" t="s">
        <v>52</v>
      </c>
      <c r="K28" s="262" t="s">
        <v>53</v>
      </c>
      <c r="L28" s="262" t="s">
        <v>41</v>
      </c>
      <c r="M28" s="220">
        <v>1</v>
      </c>
      <c r="N28" s="262" t="s">
        <v>49</v>
      </c>
      <c r="O28" s="6" t="str">
        <f>$O$6</f>
        <v>BXX</v>
      </c>
      <c r="P28" s="262" t="s">
        <v>1</v>
      </c>
      <c r="Q28" s="6" t="str">
        <f>A26&amp;".DE"</f>
        <v>BXX_PSB1_CP1_DA_JR.DE</v>
      </c>
      <c r="R28" s="262" t="s">
        <v>1</v>
      </c>
      <c r="S28" s="6" t="str">
        <f t="shared" si="3"/>
        <v>Station BXX Control Power Failure Dialer En</v>
      </c>
      <c r="T28" s="262">
        <v>0</v>
      </c>
      <c r="U28" s="262">
        <v>0</v>
      </c>
    </row>
    <row r="29" spans="1:21" x14ac:dyDescent="0.25">
      <c r="A29" s="6" t="str">
        <f>LEFT(A26,12)&amp;"_PB_"&amp;RIGHT(A26,2)&amp;"_SR"</f>
        <v>BXX_PSB1_CP1_PB_JR_SR</v>
      </c>
      <c r="B29" s="6" t="str">
        <f t="shared" si="1"/>
        <v>BXX</v>
      </c>
      <c r="C29" s="6" t="str">
        <f>$C26&amp;" Super En"</f>
        <v>Station BXX Control Power Failure Super En</v>
      </c>
      <c r="D29" s="4">
        <f t="shared" si="2"/>
        <v>42</v>
      </c>
      <c r="E29" s="262" t="s">
        <v>1</v>
      </c>
      <c r="F29" s="262" t="s">
        <v>0</v>
      </c>
      <c r="G29" s="262">
        <v>600</v>
      </c>
      <c r="H29" s="262" t="s">
        <v>0</v>
      </c>
      <c r="I29" s="262" t="s">
        <v>40</v>
      </c>
      <c r="J29" s="262" t="s">
        <v>52</v>
      </c>
      <c r="K29" s="262" t="s">
        <v>53</v>
      </c>
      <c r="L29" s="262" t="s">
        <v>41</v>
      </c>
      <c r="M29" s="220">
        <v>1</v>
      </c>
      <c r="N29" s="262" t="s">
        <v>49</v>
      </c>
      <c r="O29" s="6" t="str">
        <f>$O$6</f>
        <v>BXX</v>
      </c>
      <c r="P29" s="262" t="s">
        <v>1</v>
      </c>
      <c r="Q29" s="6" t="str">
        <f>A26&amp;".SR"</f>
        <v>BXX_PSB1_CP1_DA_JR.SR</v>
      </c>
      <c r="R29" s="262" t="s">
        <v>1</v>
      </c>
      <c r="S29" s="6" t="str">
        <f t="shared" si="3"/>
        <v>Station BXX Control Power Failure Super En</v>
      </c>
      <c r="T29" s="262">
        <v>0</v>
      </c>
      <c r="U29" s="262">
        <v>0</v>
      </c>
    </row>
    <row r="30" spans="1:21" x14ac:dyDescent="0.25">
      <c r="A30" s="6" t="str">
        <f>$A$3&amp;"_UPS1_001_DA_GA"</f>
        <v>BXX_UPS1_001_DA_GA</v>
      </c>
      <c r="B30" s="6" t="str">
        <f t="shared" si="1"/>
        <v>BXX</v>
      </c>
      <c r="C30" s="6" t="str">
        <f>$C$3&amp;" Main UPS Fault"</f>
        <v>Station BXX Main UPS Fault</v>
      </c>
      <c r="D30" s="4">
        <f t="shared" si="2"/>
        <v>26</v>
      </c>
      <c r="E30" s="262" t="s">
        <v>1</v>
      </c>
      <c r="F30" s="262" t="s">
        <v>1</v>
      </c>
      <c r="G30" s="262">
        <v>0</v>
      </c>
      <c r="H30" s="262" t="s">
        <v>0</v>
      </c>
      <c r="I30" s="262" t="s">
        <v>40</v>
      </c>
      <c r="J30" s="262" t="s">
        <v>50</v>
      </c>
      <c r="K30" s="262" t="s">
        <v>51</v>
      </c>
      <c r="L30" s="262" t="s">
        <v>42</v>
      </c>
      <c r="M30" s="220">
        <v>20</v>
      </c>
      <c r="N30" s="262" t="s">
        <v>49</v>
      </c>
      <c r="O30" s="6" t="str">
        <f>[1]BXXPLC1!$C$3</f>
        <v>BXX</v>
      </c>
      <c r="P30" s="262" t="s">
        <v>1</v>
      </c>
      <c r="Q30" s="6" t="str">
        <f>A30&amp;".eng"</f>
        <v>BXX_UPS1_001_DA_GA.eng</v>
      </c>
      <c r="R30" s="262" t="s">
        <v>1</v>
      </c>
      <c r="S30" s="6" t="str">
        <f t="shared" si="3"/>
        <v>Station BXX Main UPS Fault</v>
      </c>
      <c r="T30" s="262">
        <v>0</v>
      </c>
      <c r="U30" s="262">
        <v>0</v>
      </c>
    </row>
    <row r="31" spans="1:21" x14ac:dyDescent="0.25">
      <c r="A31" s="6" t="str">
        <f>LEFT(A30,12)&amp;"_PB_"&amp;RIGHT(A30,2)&amp;"_RE"</f>
        <v>BXX_UPS1_001_PB_GA_RE</v>
      </c>
      <c r="B31" s="6" t="str">
        <f t="shared" si="1"/>
        <v>BXX</v>
      </c>
      <c r="C31" s="6" t="str">
        <f>C30 &amp;" Enable"</f>
        <v>Station BXX Main UPS Fault Enable</v>
      </c>
      <c r="D31" s="4">
        <f t="shared" si="2"/>
        <v>33</v>
      </c>
      <c r="E31" s="262" t="s">
        <v>1</v>
      </c>
      <c r="F31" s="262" t="s">
        <v>0</v>
      </c>
      <c r="G31" s="262">
        <v>600</v>
      </c>
      <c r="H31" s="262" t="s">
        <v>0</v>
      </c>
      <c r="I31" s="262" t="s">
        <v>40</v>
      </c>
      <c r="J31" s="262" t="s">
        <v>52</v>
      </c>
      <c r="K31" s="262" t="s">
        <v>53</v>
      </c>
      <c r="L31" s="262" t="s">
        <v>41</v>
      </c>
      <c r="M31" s="220">
        <v>1</v>
      </c>
      <c r="N31" s="262" t="s">
        <v>49</v>
      </c>
      <c r="O31" s="6" t="str">
        <f>$O$6</f>
        <v>BXX</v>
      </c>
      <c r="P31" s="262" t="s">
        <v>1</v>
      </c>
      <c r="Q31" s="6" t="str">
        <f>A30&amp;".RE"</f>
        <v>BXX_UPS1_001_DA_GA.RE</v>
      </c>
      <c r="R31" s="262" t="s">
        <v>1</v>
      </c>
      <c r="S31" s="6" t="str">
        <f t="shared" si="3"/>
        <v>Station BXX Main UPS Fault Enable</v>
      </c>
      <c r="T31" s="262">
        <v>0</v>
      </c>
      <c r="U31" s="262">
        <v>0</v>
      </c>
    </row>
    <row r="32" spans="1:21" x14ac:dyDescent="0.25">
      <c r="A32" s="6" t="str">
        <f>LEFT(A30,12)&amp;"_PB_"&amp;RIGHT(A30,2)&amp;"_DE"</f>
        <v>BXX_UPS1_001_PB_GA_DE</v>
      </c>
      <c r="B32" s="6" t="str">
        <f t="shared" si="1"/>
        <v>BXX</v>
      </c>
      <c r="C32" s="6" t="str">
        <f>$C30&amp;" Dialer En"</f>
        <v>Station BXX Main UPS Fault Dialer En</v>
      </c>
      <c r="D32" s="4">
        <f t="shared" si="2"/>
        <v>36</v>
      </c>
      <c r="E32" s="262" t="s">
        <v>1</v>
      </c>
      <c r="F32" s="262" t="s">
        <v>0</v>
      </c>
      <c r="G32" s="262">
        <v>600</v>
      </c>
      <c r="H32" s="262" t="s">
        <v>0</v>
      </c>
      <c r="I32" s="262" t="s">
        <v>40</v>
      </c>
      <c r="J32" s="262" t="s">
        <v>52</v>
      </c>
      <c r="K32" s="262" t="s">
        <v>53</v>
      </c>
      <c r="L32" s="262" t="s">
        <v>41</v>
      </c>
      <c r="M32" s="220">
        <v>1</v>
      </c>
      <c r="N32" s="262" t="s">
        <v>49</v>
      </c>
      <c r="O32" s="6" t="str">
        <f>$O$6</f>
        <v>BXX</v>
      </c>
      <c r="P32" s="262" t="s">
        <v>1</v>
      </c>
      <c r="Q32" s="6" t="str">
        <f>A30&amp;".DE"</f>
        <v>BXX_UPS1_001_DA_GA.DE</v>
      </c>
      <c r="R32" s="262" t="s">
        <v>1</v>
      </c>
      <c r="S32" s="6" t="str">
        <f t="shared" si="3"/>
        <v>Station BXX Main UPS Fault Dialer En</v>
      </c>
      <c r="T32" s="262">
        <v>0</v>
      </c>
      <c r="U32" s="262">
        <v>0</v>
      </c>
    </row>
    <row r="33" spans="1:21" x14ac:dyDescent="0.25">
      <c r="A33" s="6" t="str">
        <f>LEFT(A30,12)&amp;"_PB_"&amp;RIGHT(A30,2)&amp;"_SR"</f>
        <v>BXX_UPS1_001_PB_GA_SR</v>
      </c>
      <c r="B33" s="6" t="str">
        <f t="shared" si="1"/>
        <v>BXX</v>
      </c>
      <c r="C33" s="6" t="str">
        <f>$C30&amp;" Super En"</f>
        <v>Station BXX Main UPS Fault Super En</v>
      </c>
      <c r="D33" s="4">
        <f t="shared" si="2"/>
        <v>35</v>
      </c>
      <c r="E33" s="262" t="s">
        <v>1</v>
      </c>
      <c r="F33" s="262" t="s">
        <v>0</v>
      </c>
      <c r="G33" s="262">
        <v>600</v>
      </c>
      <c r="H33" s="262" t="s">
        <v>0</v>
      </c>
      <c r="I33" s="262" t="s">
        <v>40</v>
      </c>
      <c r="J33" s="262" t="s">
        <v>52</v>
      </c>
      <c r="K33" s="262" t="s">
        <v>53</v>
      </c>
      <c r="L33" s="262" t="s">
        <v>41</v>
      </c>
      <c r="M33" s="220">
        <v>1</v>
      </c>
      <c r="N33" s="262" t="s">
        <v>49</v>
      </c>
      <c r="O33" s="6" t="str">
        <f>$O$6</f>
        <v>BXX</v>
      </c>
      <c r="P33" s="262" t="s">
        <v>1</v>
      </c>
      <c r="Q33" s="6" t="str">
        <f>A30&amp;".SR"</f>
        <v>BXX_UPS1_001_DA_GA.SR</v>
      </c>
      <c r="R33" s="262" t="s">
        <v>1</v>
      </c>
      <c r="S33" s="6" t="str">
        <f t="shared" si="3"/>
        <v>Station BXX Main UPS Fault Super En</v>
      </c>
      <c r="T33" s="262">
        <v>0</v>
      </c>
      <c r="U33" s="262">
        <v>0</v>
      </c>
    </row>
    <row r="34" spans="1:21" x14ac:dyDescent="0.25">
      <c r="A34" s="6" t="str">
        <f>$A$3&amp;"_UPS1_BT1_DA_JL"</f>
        <v>BXX_UPS1_BT1_DA_JL</v>
      </c>
      <c r="B34" s="6" t="str">
        <f t="shared" si="1"/>
        <v>BXX</v>
      </c>
      <c r="C34" s="6" t="str">
        <f>$C$3&amp;" Main UPS Low Battery"</f>
        <v>Station BXX Main UPS Low Battery</v>
      </c>
      <c r="D34" s="4">
        <f t="shared" si="2"/>
        <v>32</v>
      </c>
      <c r="E34" s="262" t="s">
        <v>1</v>
      </c>
      <c r="F34" s="262" t="s">
        <v>1</v>
      </c>
      <c r="G34" s="262">
        <v>0</v>
      </c>
      <c r="H34" s="262" t="s">
        <v>0</v>
      </c>
      <c r="I34" s="262" t="s">
        <v>40</v>
      </c>
      <c r="J34" s="262" t="s">
        <v>50</v>
      </c>
      <c r="K34" s="262" t="s">
        <v>51</v>
      </c>
      <c r="L34" s="262" t="s">
        <v>42</v>
      </c>
      <c r="M34" s="220">
        <v>20</v>
      </c>
      <c r="N34" s="262" t="s">
        <v>49</v>
      </c>
      <c r="O34" s="6" t="str">
        <f>[1]BXXPLC1!$C$3</f>
        <v>BXX</v>
      </c>
      <c r="P34" s="262" t="s">
        <v>1</v>
      </c>
      <c r="Q34" s="6" t="str">
        <f>A34&amp;".eng"</f>
        <v>BXX_UPS1_BT1_DA_JL.eng</v>
      </c>
      <c r="R34" s="262" t="s">
        <v>1</v>
      </c>
      <c r="S34" s="6" t="str">
        <f t="shared" si="3"/>
        <v>Station BXX Main UPS Low Battery</v>
      </c>
      <c r="T34" s="262">
        <v>0</v>
      </c>
      <c r="U34" s="262">
        <v>0</v>
      </c>
    </row>
    <row r="35" spans="1:21" x14ac:dyDescent="0.25">
      <c r="A35" s="6" t="str">
        <f>LEFT(A34,12)&amp;"_PB_"&amp;RIGHT(A34,2)&amp;"_RE"</f>
        <v>BXX_UPS1_BT1_PB_JL_RE</v>
      </c>
      <c r="B35" s="6" t="str">
        <f t="shared" si="1"/>
        <v>BXX</v>
      </c>
      <c r="C35" s="6" t="str">
        <f>C34 &amp;" Enable"</f>
        <v>Station BXX Main UPS Low Battery Enable</v>
      </c>
      <c r="D35" s="4">
        <f t="shared" si="2"/>
        <v>39</v>
      </c>
      <c r="E35" s="262" t="s">
        <v>1</v>
      </c>
      <c r="F35" s="262" t="s">
        <v>0</v>
      </c>
      <c r="G35" s="262">
        <v>600</v>
      </c>
      <c r="H35" s="262" t="s">
        <v>0</v>
      </c>
      <c r="I35" s="262" t="s">
        <v>40</v>
      </c>
      <c r="J35" s="262" t="s">
        <v>52</v>
      </c>
      <c r="K35" s="262" t="s">
        <v>53</v>
      </c>
      <c r="L35" s="262" t="s">
        <v>41</v>
      </c>
      <c r="M35" s="220">
        <v>1</v>
      </c>
      <c r="N35" s="262" t="s">
        <v>49</v>
      </c>
      <c r="O35" s="6" t="str">
        <f>$O$6</f>
        <v>BXX</v>
      </c>
      <c r="P35" s="262" t="s">
        <v>1</v>
      </c>
      <c r="Q35" s="6" t="str">
        <f>A34&amp;".RE"</f>
        <v>BXX_UPS1_BT1_DA_JL.RE</v>
      </c>
      <c r="R35" s="262" t="s">
        <v>1</v>
      </c>
      <c r="S35" s="6" t="str">
        <f t="shared" si="3"/>
        <v>Station BXX Main UPS Low Battery Enable</v>
      </c>
      <c r="T35" s="262">
        <v>0</v>
      </c>
      <c r="U35" s="262">
        <v>0</v>
      </c>
    </row>
    <row r="36" spans="1:21" x14ac:dyDescent="0.25">
      <c r="A36" s="6" t="str">
        <f>LEFT(A34,12)&amp;"_PB_"&amp;RIGHT(A34,2)&amp;"_DE"</f>
        <v>BXX_UPS1_BT1_PB_JL_DE</v>
      </c>
      <c r="B36" s="6" t="str">
        <f t="shared" si="1"/>
        <v>BXX</v>
      </c>
      <c r="C36" s="6" t="str">
        <f>$C34&amp;" Dialer En"</f>
        <v>Station BXX Main UPS Low Battery Dialer En</v>
      </c>
      <c r="D36" s="4">
        <f t="shared" si="2"/>
        <v>42</v>
      </c>
      <c r="E36" s="262" t="s">
        <v>1</v>
      </c>
      <c r="F36" s="262" t="s">
        <v>0</v>
      </c>
      <c r="G36" s="262">
        <v>600</v>
      </c>
      <c r="H36" s="262" t="s">
        <v>0</v>
      </c>
      <c r="I36" s="262" t="s">
        <v>40</v>
      </c>
      <c r="J36" s="262" t="s">
        <v>52</v>
      </c>
      <c r="K36" s="262" t="s">
        <v>53</v>
      </c>
      <c r="L36" s="262" t="s">
        <v>41</v>
      </c>
      <c r="M36" s="220">
        <v>1</v>
      </c>
      <c r="N36" s="262" t="s">
        <v>49</v>
      </c>
      <c r="O36" s="6" t="str">
        <f>$O$6</f>
        <v>BXX</v>
      </c>
      <c r="P36" s="262" t="s">
        <v>1</v>
      </c>
      <c r="Q36" s="6" t="str">
        <f>A34&amp;".DE"</f>
        <v>BXX_UPS1_BT1_DA_JL.DE</v>
      </c>
      <c r="R36" s="262" t="s">
        <v>1</v>
      </c>
      <c r="S36" s="6" t="str">
        <f t="shared" si="3"/>
        <v>Station BXX Main UPS Low Battery Dialer En</v>
      </c>
      <c r="T36" s="262">
        <v>0</v>
      </c>
      <c r="U36" s="262">
        <v>0</v>
      </c>
    </row>
    <row r="37" spans="1:21" x14ac:dyDescent="0.25">
      <c r="A37" s="6" t="str">
        <f>LEFT(A34,12)&amp;"_PB_"&amp;RIGHT(A34,2)&amp;"_SR"</f>
        <v>BXX_UPS1_BT1_PB_JL_SR</v>
      </c>
      <c r="B37" s="6" t="str">
        <f t="shared" si="1"/>
        <v>BXX</v>
      </c>
      <c r="C37" s="6" t="str">
        <f>$C34&amp;" Super En"</f>
        <v>Station BXX Main UPS Low Battery Super En</v>
      </c>
      <c r="D37" s="4">
        <f t="shared" si="2"/>
        <v>41</v>
      </c>
      <c r="E37" s="262" t="s">
        <v>1</v>
      </c>
      <c r="F37" s="262" t="s">
        <v>0</v>
      </c>
      <c r="G37" s="262">
        <v>600</v>
      </c>
      <c r="H37" s="262" t="s">
        <v>0</v>
      </c>
      <c r="I37" s="262" t="s">
        <v>40</v>
      </c>
      <c r="J37" s="262" t="s">
        <v>52</v>
      </c>
      <c r="K37" s="262" t="s">
        <v>53</v>
      </c>
      <c r="L37" s="262" t="s">
        <v>41</v>
      </c>
      <c r="M37" s="220">
        <v>1</v>
      </c>
      <c r="N37" s="262" t="s">
        <v>49</v>
      </c>
      <c r="O37" s="6" t="str">
        <f>$O$6</f>
        <v>BXX</v>
      </c>
      <c r="P37" s="262" t="s">
        <v>1</v>
      </c>
      <c r="Q37" s="6" t="str">
        <f>A34&amp;".SR"</f>
        <v>BXX_UPS1_BT1_DA_JL.SR</v>
      </c>
      <c r="R37" s="262" t="s">
        <v>1</v>
      </c>
      <c r="S37" s="6" t="str">
        <f t="shared" si="3"/>
        <v>Station BXX Main UPS Low Battery Super En</v>
      </c>
      <c r="T37" s="262">
        <v>0</v>
      </c>
      <c r="U37" s="262">
        <v>0</v>
      </c>
    </row>
    <row r="38" spans="1:21" x14ac:dyDescent="0.25">
      <c r="A38" s="6" t="str">
        <f>$A$3&amp;"_PSB1_JI1_DA_GA"</f>
        <v>BXX_PSB1_JI1_DA_GA</v>
      </c>
      <c r="B38" s="6" t="str">
        <f t="shared" si="1"/>
        <v>BXX</v>
      </c>
      <c r="C38" s="6" t="str">
        <f>$C$3&amp;" Phase Failure"</f>
        <v>Station BXX Phase Failure</v>
      </c>
      <c r="D38" s="4">
        <f t="shared" si="2"/>
        <v>25</v>
      </c>
      <c r="E38" s="262" t="s">
        <v>1</v>
      </c>
      <c r="F38" s="262" t="s">
        <v>1</v>
      </c>
      <c r="G38" s="262">
        <v>0</v>
      </c>
      <c r="H38" s="262" t="s">
        <v>0</v>
      </c>
      <c r="I38" s="262" t="s">
        <v>40</v>
      </c>
      <c r="J38" s="262" t="s">
        <v>50</v>
      </c>
      <c r="K38" s="262" t="s">
        <v>51</v>
      </c>
      <c r="L38" s="262" t="s">
        <v>42</v>
      </c>
      <c r="M38" s="220">
        <v>48</v>
      </c>
      <c r="N38" s="262" t="s">
        <v>49</v>
      </c>
      <c r="O38" s="6" t="str">
        <f>[1]BXXPLC1!$C$3</f>
        <v>BXX</v>
      </c>
      <c r="P38" s="262" t="s">
        <v>1</v>
      </c>
      <c r="Q38" s="6" t="str">
        <f>A38&amp;".eng"</f>
        <v>BXX_PSB1_JI1_DA_GA.eng</v>
      </c>
      <c r="R38" s="262" t="s">
        <v>1</v>
      </c>
      <c r="S38" s="6" t="str">
        <f t="shared" si="3"/>
        <v>Station BXX Phase Failure</v>
      </c>
      <c r="T38" s="262">
        <v>0</v>
      </c>
      <c r="U38" s="262">
        <v>0</v>
      </c>
    </row>
    <row r="39" spans="1:21" x14ac:dyDescent="0.25">
      <c r="A39" s="6" t="str">
        <f>LEFT(A38,12)&amp;"_PB_"&amp;RIGHT(A38,2)&amp;"_RE"</f>
        <v>BXX_PSB1_JI1_PB_GA_RE</v>
      </c>
      <c r="B39" s="6" t="str">
        <f t="shared" si="1"/>
        <v>BXX</v>
      </c>
      <c r="C39" s="6" t="str">
        <f>C38 &amp;" Enable"</f>
        <v>Station BXX Phase Failure Enable</v>
      </c>
      <c r="D39" s="4">
        <f t="shared" si="2"/>
        <v>32</v>
      </c>
      <c r="E39" s="262" t="s">
        <v>1</v>
      </c>
      <c r="F39" s="262" t="s">
        <v>0</v>
      </c>
      <c r="G39" s="262">
        <v>600</v>
      </c>
      <c r="H39" s="262" t="s">
        <v>0</v>
      </c>
      <c r="I39" s="262" t="s">
        <v>40</v>
      </c>
      <c r="J39" s="262" t="s">
        <v>52</v>
      </c>
      <c r="K39" s="262" t="s">
        <v>53</v>
      </c>
      <c r="L39" s="262" t="s">
        <v>41</v>
      </c>
      <c r="M39" s="220">
        <v>1</v>
      </c>
      <c r="N39" s="262" t="s">
        <v>49</v>
      </c>
      <c r="O39" s="6" t="str">
        <f>$O$6</f>
        <v>BXX</v>
      </c>
      <c r="P39" s="262" t="s">
        <v>1</v>
      </c>
      <c r="Q39" s="6" t="str">
        <f>A38&amp;".RE"</f>
        <v>BXX_PSB1_JI1_DA_GA.RE</v>
      </c>
      <c r="R39" s="262" t="s">
        <v>1</v>
      </c>
      <c r="S39" s="6" t="str">
        <f t="shared" si="3"/>
        <v>Station BXX Phase Failure Enable</v>
      </c>
      <c r="T39" s="262">
        <v>0</v>
      </c>
      <c r="U39" s="262">
        <v>0</v>
      </c>
    </row>
    <row r="40" spans="1:21" x14ac:dyDescent="0.25">
      <c r="A40" s="6" t="str">
        <f>LEFT(A38,12)&amp;"_PB_"&amp;RIGHT(A38,2)&amp;"_DE"</f>
        <v>BXX_PSB1_JI1_PB_GA_DE</v>
      </c>
      <c r="B40" s="6" t="str">
        <f t="shared" si="1"/>
        <v>BXX</v>
      </c>
      <c r="C40" s="6" t="str">
        <f>$C38&amp;" Dialer En"</f>
        <v>Station BXX Phase Failure Dialer En</v>
      </c>
      <c r="D40" s="4">
        <f t="shared" si="2"/>
        <v>35</v>
      </c>
      <c r="E40" s="262" t="s">
        <v>1</v>
      </c>
      <c r="F40" s="262" t="s">
        <v>0</v>
      </c>
      <c r="G40" s="262">
        <v>600</v>
      </c>
      <c r="H40" s="262" t="s">
        <v>0</v>
      </c>
      <c r="I40" s="262" t="s">
        <v>40</v>
      </c>
      <c r="J40" s="262" t="s">
        <v>52</v>
      </c>
      <c r="K40" s="262" t="s">
        <v>53</v>
      </c>
      <c r="L40" s="262" t="s">
        <v>41</v>
      </c>
      <c r="M40" s="220">
        <v>1</v>
      </c>
      <c r="N40" s="262" t="s">
        <v>49</v>
      </c>
      <c r="O40" s="6" t="str">
        <f>$O$6</f>
        <v>BXX</v>
      </c>
      <c r="P40" s="262" t="s">
        <v>1</v>
      </c>
      <c r="Q40" s="6" t="str">
        <f>A38&amp;".DE"</f>
        <v>BXX_PSB1_JI1_DA_GA.DE</v>
      </c>
      <c r="R40" s="262" t="s">
        <v>1</v>
      </c>
      <c r="S40" s="6" t="str">
        <f t="shared" si="3"/>
        <v>Station BXX Phase Failure Dialer En</v>
      </c>
      <c r="T40" s="262">
        <v>0</v>
      </c>
      <c r="U40" s="262">
        <v>0</v>
      </c>
    </row>
    <row r="41" spans="1:21" x14ac:dyDescent="0.25">
      <c r="A41" s="6" t="str">
        <f>LEFT(A38,12)&amp;"_PB_"&amp;RIGHT(A38,2)&amp;"_SR"</f>
        <v>BXX_PSB1_JI1_PB_GA_SR</v>
      </c>
      <c r="B41" s="6" t="str">
        <f t="shared" si="1"/>
        <v>BXX</v>
      </c>
      <c r="C41" s="6" t="str">
        <f>$C38&amp;" Super En"</f>
        <v>Station BXX Phase Failure Super En</v>
      </c>
      <c r="D41" s="4">
        <f t="shared" si="2"/>
        <v>34</v>
      </c>
      <c r="E41" s="262" t="s">
        <v>1</v>
      </c>
      <c r="F41" s="262" t="s">
        <v>0</v>
      </c>
      <c r="G41" s="262">
        <v>600</v>
      </c>
      <c r="H41" s="262" t="s">
        <v>0</v>
      </c>
      <c r="I41" s="262" t="s">
        <v>40</v>
      </c>
      <c r="J41" s="262" t="s">
        <v>52</v>
      </c>
      <c r="K41" s="262" t="s">
        <v>53</v>
      </c>
      <c r="L41" s="262" t="s">
        <v>41</v>
      </c>
      <c r="M41" s="220">
        <v>1</v>
      </c>
      <c r="N41" s="262" t="s">
        <v>49</v>
      </c>
      <c r="O41" s="6" t="str">
        <f>$O$6</f>
        <v>BXX</v>
      </c>
      <c r="P41" s="262" t="s">
        <v>1</v>
      </c>
      <c r="Q41" s="6" t="str">
        <f>A38&amp;".SR"</f>
        <v>BXX_PSB1_JI1_DA_GA.SR</v>
      </c>
      <c r="R41" s="262" t="s">
        <v>1</v>
      </c>
      <c r="S41" s="6" t="str">
        <f t="shared" si="3"/>
        <v>Station BXX Phase Failure Super En</v>
      </c>
      <c r="T41" s="262">
        <v>0</v>
      </c>
      <c r="U41" s="262">
        <v>0</v>
      </c>
    </row>
    <row r="42" spans="1:21" x14ac:dyDescent="0.25">
      <c r="A42" s="6" t="str">
        <f>$A$3&amp;"_DDT1_LS1_DA_KA"</f>
        <v>BXX_DDT1_LS1_DA_KA</v>
      </c>
      <c r="B42" s="6" t="str">
        <f t="shared" si="1"/>
        <v>BXX</v>
      </c>
      <c r="C42" s="6" t="str">
        <f>$C$3&amp;" Diesel Flood"</f>
        <v>Station BXX Diesel Flood</v>
      </c>
      <c r="D42" s="4">
        <f t="shared" si="2"/>
        <v>24</v>
      </c>
      <c r="E42" s="262" t="s">
        <v>1</v>
      </c>
      <c r="F42" s="262" t="s">
        <v>1</v>
      </c>
      <c r="G42" s="262">
        <v>0</v>
      </c>
      <c r="H42" s="262" t="s">
        <v>0</v>
      </c>
      <c r="I42" s="262" t="s">
        <v>40</v>
      </c>
      <c r="J42" s="262" t="s">
        <v>50</v>
      </c>
      <c r="K42" s="262" t="s">
        <v>51</v>
      </c>
      <c r="L42" s="262" t="s">
        <v>42</v>
      </c>
      <c r="M42" s="220">
        <v>9</v>
      </c>
      <c r="N42" s="262" t="s">
        <v>49</v>
      </c>
      <c r="O42" s="6" t="str">
        <f>[1]BXXPLC1!$C$3</f>
        <v>BXX</v>
      </c>
      <c r="P42" s="262" t="s">
        <v>1</v>
      </c>
      <c r="Q42" s="6" t="str">
        <f>A42&amp;".eng"</f>
        <v>BXX_DDT1_LS1_DA_KA.eng</v>
      </c>
      <c r="R42" s="262" t="s">
        <v>1</v>
      </c>
      <c r="S42" s="6" t="str">
        <f t="shared" si="3"/>
        <v>Station BXX Diesel Flood</v>
      </c>
      <c r="T42" s="262">
        <v>0</v>
      </c>
      <c r="U42" s="262">
        <v>0</v>
      </c>
    </row>
    <row r="43" spans="1:21" x14ac:dyDescent="0.25">
      <c r="A43" s="6" t="str">
        <f>LEFT(A42,12)&amp;"_PB_"&amp;RIGHT(A42,2)&amp;"_RE"</f>
        <v>BXX_DDT1_LS1_PB_KA_RE</v>
      </c>
      <c r="B43" s="6" t="str">
        <f t="shared" si="1"/>
        <v>BXX</v>
      </c>
      <c r="C43" s="6" t="str">
        <f>C42 &amp;" Enable"</f>
        <v>Station BXX Diesel Flood Enable</v>
      </c>
      <c r="D43" s="4">
        <f t="shared" si="2"/>
        <v>31</v>
      </c>
      <c r="E43" s="262" t="s">
        <v>1</v>
      </c>
      <c r="F43" s="262" t="s">
        <v>0</v>
      </c>
      <c r="G43" s="262">
        <v>600</v>
      </c>
      <c r="H43" s="262" t="s">
        <v>0</v>
      </c>
      <c r="I43" s="262" t="s">
        <v>40</v>
      </c>
      <c r="J43" s="262" t="s">
        <v>52</v>
      </c>
      <c r="K43" s="262" t="s">
        <v>53</v>
      </c>
      <c r="L43" s="262" t="s">
        <v>41</v>
      </c>
      <c r="M43" s="220">
        <v>1</v>
      </c>
      <c r="N43" s="262" t="s">
        <v>49</v>
      </c>
      <c r="O43" s="6" t="str">
        <f>$O$6</f>
        <v>BXX</v>
      </c>
      <c r="P43" s="262" t="s">
        <v>1</v>
      </c>
      <c r="Q43" s="6" t="str">
        <f>A42&amp;".RE"</f>
        <v>BXX_DDT1_LS1_DA_KA.RE</v>
      </c>
      <c r="R43" s="262" t="s">
        <v>1</v>
      </c>
      <c r="S43" s="6" t="str">
        <f t="shared" si="3"/>
        <v>Station BXX Diesel Flood Enable</v>
      </c>
      <c r="T43" s="262">
        <v>0</v>
      </c>
      <c r="U43" s="262">
        <v>0</v>
      </c>
    </row>
    <row r="44" spans="1:21" x14ac:dyDescent="0.25">
      <c r="A44" s="6" t="str">
        <f>LEFT(A42,12)&amp;"_PB_"&amp;RIGHT(A42,2)&amp;"_DE"</f>
        <v>BXX_DDT1_LS1_PB_KA_DE</v>
      </c>
      <c r="B44" s="6" t="str">
        <f t="shared" si="1"/>
        <v>BXX</v>
      </c>
      <c r="C44" s="6" t="str">
        <f>$C42&amp;" Dialer En"</f>
        <v>Station BXX Diesel Flood Dialer En</v>
      </c>
      <c r="D44" s="4">
        <f t="shared" si="2"/>
        <v>34</v>
      </c>
      <c r="E44" s="262" t="s">
        <v>1</v>
      </c>
      <c r="F44" s="262" t="s">
        <v>0</v>
      </c>
      <c r="G44" s="262">
        <v>600</v>
      </c>
      <c r="H44" s="262" t="s">
        <v>0</v>
      </c>
      <c r="I44" s="262" t="s">
        <v>40</v>
      </c>
      <c r="J44" s="262" t="s">
        <v>52</v>
      </c>
      <c r="K44" s="262" t="s">
        <v>53</v>
      </c>
      <c r="L44" s="262" t="s">
        <v>41</v>
      </c>
      <c r="M44" s="220">
        <v>1</v>
      </c>
      <c r="N44" s="262" t="s">
        <v>49</v>
      </c>
      <c r="O44" s="6" t="str">
        <f>$O$6</f>
        <v>BXX</v>
      </c>
      <c r="P44" s="262" t="s">
        <v>1</v>
      </c>
      <c r="Q44" s="6" t="str">
        <f>A42&amp;".DE"</f>
        <v>BXX_DDT1_LS1_DA_KA.DE</v>
      </c>
      <c r="R44" s="262" t="s">
        <v>1</v>
      </c>
      <c r="S44" s="6" t="str">
        <f t="shared" si="3"/>
        <v>Station BXX Diesel Flood Dialer En</v>
      </c>
      <c r="T44" s="262">
        <v>0</v>
      </c>
      <c r="U44" s="262">
        <v>0</v>
      </c>
    </row>
    <row r="45" spans="1:21" x14ac:dyDescent="0.25">
      <c r="A45" s="6" t="str">
        <f>LEFT(A42,12)&amp;"_PB_"&amp;RIGHT(A42,2)&amp;"_SR"</f>
        <v>BXX_DDT1_LS1_PB_KA_SR</v>
      </c>
      <c r="B45" s="6" t="str">
        <f t="shared" si="1"/>
        <v>BXX</v>
      </c>
      <c r="C45" s="6" t="str">
        <f>$C42&amp;" Super En"</f>
        <v>Station BXX Diesel Flood Super En</v>
      </c>
      <c r="D45" s="4">
        <f t="shared" si="2"/>
        <v>33</v>
      </c>
      <c r="E45" s="262" t="s">
        <v>1</v>
      </c>
      <c r="F45" s="262" t="s">
        <v>0</v>
      </c>
      <c r="G45" s="262">
        <v>600</v>
      </c>
      <c r="H45" s="262" t="s">
        <v>0</v>
      </c>
      <c r="I45" s="262" t="s">
        <v>40</v>
      </c>
      <c r="J45" s="262" t="s">
        <v>52</v>
      </c>
      <c r="K45" s="262" t="s">
        <v>53</v>
      </c>
      <c r="L45" s="262" t="s">
        <v>41</v>
      </c>
      <c r="M45" s="220">
        <v>1</v>
      </c>
      <c r="N45" s="262" t="s">
        <v>49</v>
      </c>
      <c r="O45" s="6" t="str">
        <f>$O$6</f>
        <v>BXX</v>
      </c>
      <c r="P45" s="262" t="s">
        <v>1</v>
      </c>
      <c r="Q45" s="6" t="str">
        <f>A42&amp;".SR"</f>
        <v>BXX_DDT1_LS1_DA_KA.SR</v>
      </c>
      <c r="R45" s="262" t="s">
        <v>1</v>
      </c>
      <c r="S45" s="6" t="str">
        <f t="shared" si="3"/>
        <v>Station BXX Diesel Flood Super En</v>
      </c>
      <c r="T45" s="262">
        <v>0</v>
      </c>
      <c r="U45" s="262">
        <v>0</v>
      </c>
    </row>
    <row r="46" spans="1:21" x14ac:dyDescent="0.25">
      <c r="A46" s="6" t="str">
        <f>$A$3&amp;"_DDV1_LS1_DA_KA"</f>
        <v>BXX_DDV1_LS1_DA_KA</v>
      </c>
      <c r="B46" s="6" t="str">
        <f t="shared" si="1"/>
        <v>BXX</v>
      </c>
      <c r="C46" s="6" t="str">
        <f>$C$3&amp;" Diesel Tank Loss Vac Alarm"</f>
        <v>Station BXX Diesel Tank Loss Vac Alarm</v>
      </c>
      <c r="D46" s="4">
        <f t="shared" si="2"/>
        <v>38</v>
      </c>
      <c r="E46" s="262" t="s">
        <v>1</v>
      </c>
      <c r="F46" s="262" t="s">
        <v>1</v>
      </c>
      <c r="G46" s="262">
        <v>0</v>
      </c>
      <c r="H46" s="262" t="s">
        <v>0</v>
      </c>
      <c r="I46" s="262" t="s">
        <v>40</v>
      </c>
      <c r="J46" s="262" t="s">
        <v>50</v>
      </c>
      <c r="K46" s="262" t="s">
        <v>51</v>
      </c>
      <c r="L46" s="262" t="s">
        <v>42</v>
      </c>
      <c r="M46" s="220">
        <v>9</v>
      </c>
      <c r="N46" s="262" t="s">
        <v>49</v>
      </c>
      <c r="O46" s="6" t="str">
        <f>[1]BXXPLC1!$C$3</f>
        <v>BXX</v>
      </c>
      <c r="P46" s="262" t="s">
        <v>1</v>
      </c>
      <c r="Q46" s="6" t="str">
        <f>A46&amp;".eng"</f>
        <v>BXX_DDV1_LS1_DA_KA.eng</v>
      </c>
      <c r="R46" s="262" t="s">
        <v>1</v>
      </c>
      <c r="S46" s="6" t="str">
        <f t="shared" si="3"/>
        <v>Station BXX Diesel Tank Loss Vac Alarm</v>
      </c>
      <c r="T46" s="262">
        <v>0</v>
      </c>
      <c r="U46" s="262">
        <v>0</v>
      </c>
    </row>
    <row r="47" spans="1:21" x14ac:dyDescent="0.25">
      <c r="A47" s="6" t="str">
        <f>LEFT(A46,12)&amp;"_PB_"&amp;RIGHT(A46,2)&amp;"_RE"</f>
        <v>BXX_DDV1_LS1_PB_KA_RE</v>
      </c>
      <c r="B47" s="6" t="str">
        <f t="shared" si="1"/>
        <v>BXX</v>
      </c>
      <c r="C47" s="6" t="str">
        <f>C46 &amp;" Enable"</f>
        <v>Station BXX Diesel Tank Loss Vac Alarm Enable</v>
      </c>
      <c r="D47" s="4">
        <f t="shared" si="2"/>
        <v>45</v>
      </c>
      <c r="E47" s="262" t="s">
        <v>1</v>
      </c>
      <c r="F47" s="262" t="s">
        <v>0</v>
      </c>
      <c r="G47" s="262">
        <v>600</v>
      </c>
      <c r="H47" s="262" t="s">
        <v>0</v>
      </c>
      <c r="I47" s="262" t="s">
        <v>40</v>
      </c>
      <c r="J47" s="262" t="s">
        <v>52</v>
      </c>
      <c r="K47" s="262" t="s">
        <v>53</v>
      </c>
      <c r="L47" s="262" t="s">
        <v>41</v>
      </c>
      <c r="M47" s="220">
        <v>1</v>
      </c>
      <c r="N47" s="262" t="s">
        <v>49</v>
      </c>
      <c r="O47" s="6" t="str">
        <f>$O$6</f>
        <v>BXX</v>
      </c>
      <c r="P47" s="262" t="s">
        <v>1</v>
      </c>
      <c r="Q47" s="6" t="str">
        <f>A46&amp;".RE"</f>
        <v>BXX_DDV1_LS1_DA_KA.RE</v>
      </c>
      <c r="R47" s="262" t="s">
        <v>1</v>
      </c>
      <c r="S47" s="6" t="str">
        <f t="shared" si="3"/>
        <v>Station BXX Diesel Tank Loss Vac Alarm Enable</v>
      </c>
      <c r="T47" s="262">
        <v>0</v>
      </c>
      <c r="U47" s="262">
        <v>0</v>
      </c>
    </row>
    <row r="48" spans="1:21" x14ac:dyDescent="0.25">
      <c r="A48" s="6" t="str">
        <f>LEFT(A46,12)&amp;"_PB_"&amp;RIGHT(A46,2)&amp;"_DE"</f>
        <v>BXX_DDV1_LS1_PB_KA_DE</v>
      </c>
      <c r="B48" s="6" t="str">
        <f t="shared" si="1"/>
        <v>BXX</v>
      </c>
      <c r="C48" s="6" t="str">
        <f>$C46&amp;" Dialer En"</f>
        <v>Station BXX Diesel Tank Loss Vac Alarm Dialer En</v>
      </c>
      <c r="D48" s="4">
        <f t="shared" si="2"/>
        <v>48</v>
      </c>
      <c r="E48" s="262" t="s">
        <v>1</v>
      </c>
      <c r="F48" s="262" t="s">
        <v>0</v>
      </c>
      <c r="G48" s="262">
        <v>600</v>
      </c>
      <c r="H48" s="262" t="s">
        <v>0</v>
      </c>
      <c r="I48" s="262" t="s">
        <v>40</v>
      </c>
      <c r="J48" s="262" t="s">
        <v>52</v>
      </c>
      <c r="K48" s="262" t="s">
        <v>53</v>
      </c>
      <c r="L48" s="262" t="s">
        <v>41</v>
      </c>
      <c r="M48" s="220">
        <v>1</v>
      </c>
      <c r="N48" s="262" t="s">
        <v>49</v>
      </c>
      <c r="O48" s="6" t="str">
        <f>$O$6</f>
        <v>BXX</v>
      </c>
      <c r="P48" s="262" t="s">
        <v>1</v>
      </c>
      <c r="Q48" s="6" t="str">
        <f>A46&amp;".DE"</f>
        <v>BXX_DDV1_LS1_DA_KA.DE</v>
      </c>
      <c r="R48" s="262" t="s">
        <v>1</v>
      </c>
      <c r="S48" s="6" t="str">
        <f t="shared" si="3"/>
        <v>Station BXX Diesel Tank Loss Vac Alarm Dialer En</v>
      </c>
      <c r="T48" s="262">
        <v>0</v>
      </c>
      <c r="U48" s="262">
        <v>0</v>
      </c>
    </row>
    <row r="49" spans="1:21" x14ac:dyDescent="0.25">
      <c r="A49" s="6" t="str">
        <f>LEFT(A46,12)&amp;"_PB_"&amp;RIGHT(A46,2)&amp;"_SR"</f>
        <v>BXX_DDV1_LS1_PB_KA_SR</v>
      </c>
      <c r="B49" s="6" t="str">
        <f t="shared" si="1"/>
        <v>BXX</v>
      </c>
      <c r="C49" s="6" t="str">
        <f>$C46&amp;" Super En"</f>
        <v>Station BXX Diesel Tank Loss Vac Alarm Super En</v>
      </c>
      <c r="D49" s="4">
        <f t="shared" si="2"/>
        <v>47</v>
      </c>
      <c r="E49" s="262" t="s">
        <v>1</v>
      </c>
      <c r="F49" s="262" t="s">
        <v>0</v>
      </c>
      <c r="G49" s="262">
        <v>600</v>
      </c>
      <c r="H49" s="262" t="s">
        <v>0</v>
      </c>
      <c r="I49" s="262" t="s">
        <v>40</v>
      </c>
      <c r="J49" s="262" t="s">
        <v>52</v>
      </c>
      <c r="K49" s="262" t="s">
        <v>53</v>
      </c>
      <c r="L49" s="262" t="s">
        <v>41</v>
      </c>
      <c r="M49" s="220">
        <v>1</v>
      </c>
      <c r="N49" s="262" t="s">
        <v>49</v>
      </c>
      <c r="O49" s="6" t="str">
        <f>$O$6</f>
        <v>BXX</v>
      </c>
      <c r="P49" s="262" t="s">
        <v>1</v>
      </c>
      <c r="Q49" s="6" t="str">
        <f>A46&amp;".SR"</f>
        <v>BXX_DDV1_LS1_DA_KA.SR</v>
      </c>
      <c r="R49" s="262" t="s">
        <v>1</v>
      </c>
      <c r="S49" s="6" t="str">
        <f t="shared" si="3"/>
        <v>Station BXX Diesel Tank Loss Vac Alarm Super En</v>
      </c>
      <c r="T49" s="262">
        <v>0</v>
      </c>
      <c r="U49" s="262">
        <v>0</v>
      </c>
    </row>
    <row r="50" spans="1:21" x14ac:dyDescent="0.25">
      <c r="A50" s="6" t="str">
        <f>$A$3&amp;"_PSB1_JI1_DA_NF"</f>
        <v>BXX_PSB1_JI1_DA_NF</v>
      </c>
      <c r="B50" s="6" t="str">
        <f t="shared" si="1"/>
        <v>BXX</v>
      </c>
      <c r="C50" s="6" t="str">
        <f>$C$3&amp;" Ground Fault"</f>
        <v>Station BXX Ground Fault</v>
      </c>
      <c r="D50" s="4">
        <f t="shared" si="2"/>
        <v>24</v>
      </c>
      <c r="E50" s="262" t="s">
        <v>1</v>
      </c>
      <c r="F50" s="262" t="s">
        <v>1</v>
      </c>
      <c r="G50" s="262">
        <v>0</v>
      </c>
      <c r="H50" s="262" t="s">
        <v>0</v>
      </c>
      <c r="I50" s="262" t="s">
        <v>40</v>
      </c>
      <c r="J50" s="262" t="s">
        <v>50</v>
      </c>
      <c r="K50" s="262" t="s">
        <v>51</v>
      </c>
      <c r="L50" s="262" t="s">
        <v>42</v>
      </c>
      <c r="M50" s="220">
        <v>48</v>
      </c>
      <c r="N50" s="262" t="s">
        <v>49</v>
      </c>
      <c r="O50" s="6" t="str">
        <f>[1]BXXPLC1!$C$3</f>
        <v>BXX</v>
      </c>
      <c r="P50" s="262" t="s">
        <v>1</v>
      </c>
      <c r="Q50" s="6" t="str">
        <f>A50&amp;".eng"</f>
        <v>BXX_PSB1_JI1_DA_NF.eng</v>
      </c>
      <c r="R50" s="262" t="s">
        <v>1</v>
      </c>
      <c r="S50" s="6" t="str">
        <f t="shared" si="3"/>
        <v>Station BXX Ground Fault</v>
      </c>
      <c r="T50" s="262">
        <v>0</v>
      </c>
      <c r="U50" s="262">
        <v>0</v>
      </c>
    </row>
    <row r="51" spans="1:21" x14ac:dyDescent="0.25">
      <c r="A51" s="6" t="str">
        <f>LEFT(A50,12)&amp;"_PB_"&amp;RIGHT(A50,2)&amp;"_RE"</f>
        <v>BXX_PSB1_JI1_PB_NF_RE</v>
      </c>
      <c r="B51" s="6" t="str">
        <f t="shared" si="1"/>
        <v>BXX</v>
      </c>
      <c r="C51" s="6" t="str">
        <f>C50 &amp;" Enable"</f>
        <v>Station BXX Ground Fault Enable</v>
      </c>
      <c r="D51" s="4">
        <f t="shared" si="2"/>
        <v>31</v>
      </c>
      <c r="E51" s="262" t="s">
        <v>1</v>
      </c>
      <c r="F51" s="262" t="s">
        <v>0</v>
      </c>
      <c r="G51" s="262">
        <v>600</v>
      </c>
      <c r="H51" s="262" t="s">
        <v>0</v>
      </c>
      <c r="I51" s="262" t="s">
        <v>40</v>
      </c>
      <c r="J51" s="262" t="s">
        <v>52</v>
      </c>
      <c r="K51" s="262" t="s">
        <v>53</v>
      </c>
      <c r="L51" s="262" t="s">
        <v>41</v>
      </c>
      <c r="M51" s="220">
        <v>1</v>
      </c>
      <c r="N51" s="262" t="s">
        <v>49</v>
      </c>
      <c r="O51" s="6" t="str">
        <f>$O$6</f>
        <v>BXX</v>
      </c>
      <c r="P51" s="262" t="s">
        <v>1</v>
      </c>
      <c r="Q51" s="6" t="str">
        <f>A50&amp;".RE"</f>
        <v>BXX_PSB1_JI1_DA_NF.RE</v>
      </c>
      <c r="R51" s="262" t="s">
        <v>1</v>
      </c>
      <c r="S51" s="6" t="str">
        <f t="shared" si="3"/>
        <v>Station BXX Ground Fault Enable</v>
      </c>
      <c r="T51" s="262">
        <v>0</v>
      </c>
      <c r="U51" s="262">
        <v>0</v>
      </c>
    </row>
    <row r="52" spans="1:21" x14ac:dyDescent="0.25">
      <c r="A52" s="6" t="str">
        <f>LEFT(A50,12)&amp;"_PB_"&amp;RIGHT(A50,2)&amp;"_DE"</f>
        <v>BXX_PSB1_JI1_PB_NF_DE</v>
      </c>
      <c r="B52" s="6" t="str">
        <f t="shared" si="1"/>
        <v>BXX</v>
      </c>
      <c r="C52" s="6" t="str">
        <f>$C50&amp;" Dialer En"</f>
        <v>Station BXX Ground Fault Dialer En</v>
      </c>
      <c r="D52" s="4">
        <f t="shared" si="2"/>
        <v>34</v>
      </c>
      <c r="E52" s="262" t="s">
        <v>1</v>
      </c>
      <c r="F52" s="262" t="s">
        <v>0</v>
      </c>
      <c r="G52" s="262">
        <v>600</v>
      </c>
      <c r="H52" s="262" t="s">
        <v>0</v>
      </c>
      <c r="I52" s="262" t="s">
        <v>40</v>
      </c>
      <c r="J52" s="262" t="s">
        <v>52</v>
      </c>
      <c r="K52" s="262" t="s">
        <v>53</v>
      </c>
      <c r="L52" s="262" t="s">
        <v>41</v>
      </c>
      <c r="M52" s="220">
        <v>1</v>
      </c>
      <c r="N52" s="262" t="s">
        <v>49</v>
      </c>
      <c r="O52" s="6" t="str">
        <f>$O$6</f>
        <v>BXX</v>
      </c>
      <c r="P52" s="262" t="s">
        <v>1</v>
      </c>
      <c r="Q52" s="6" t="str">
        <f>A50&amp;".DE"</f>
        <v>BXX_PSB1_JI1_DA_NF.DE</v>
      </c>
      <c r="R52" s="262" t="s">
        <v>1</v>
      </c>
      <c r="S52" s="6" t="str">
        <f t="shared" si="3"/>
        <v>Station BXX Ground Fault Dialer En</v>
      </c>
      <c r="T52" s="262">
        <v>0</v>
      </c>
      <c r="U52" s="262">
        <v>0</v>
      </c>
    </row>
    <row r="53" spans="1:21" x14ac:dyDescent="0.25">
      <c r="A53" s="6" t="str">
        <f>LEFT(A50,12)&amp;"_PB_"&amp;RIGHT(A50,2)&amp;"_SR"</f>
        <v>BXX_PSB1_JI1_PB_NF_SR</v>
      </c>
      <c r="B53" s="6" t="str">
        <f t="shared" si="1"/>
        <v>BXX</v>
      </c>
      <c r="C53" s="6" t="str">
        <f>$C50&amp;" Super En"</f>
        <v>Station BXX Ground Fault Super En</v>
      </c>
      <c r="D53" s="4">
        <f t="shared" si="2"/>
        <v>33</v>
      </c>
      <c r="E53" s="262" t="s">
        <v>1</v>
      </c>
      <c r="F53" s="262" t="s">
        <v>0</v>
      </c>
      <c r="G53" s="262">
        <v>600</v>
      </c>
      <c r="H53" s="262" t="s">
        <v>0</v>
      </c>
      <c r="I53" s="262" t="s">
        <v>40</v>
      </c>
      <c r="J53" s="262" t="s">
        <v>52</v>
      </c>
      <c r="K53" s="262" t="s">
        <v>53</v>
      </c>
      <c r="L53" s="262" t="s">
        <v>41</v>
      </c>
      <c r="M53" s="220">
        <v>1</v>
      </c>
      <c r="N53" s="262" t="s">
        <v>49</v>
      </c>
      <c r="O53" s="6" t="str">
        <f>$O$6</f>
        <v>BXX</v>
      </c>
      <c r="P53" s="262" t="s">
        <v>1</v>
      </c>
      <c r="Q53" s="6" t="str">
        <f>A50&amp;".SR"</f>
        <v>BXX_PSB1_JI1_DA_NF.SR</v>
      </c>
      <c r="R53" s="262" t="s">
        <v>1</v>
      </c>
      <c r="S53" s="6" t="str">
        <f t="shared" si="3"/>
        <v>Station BXX Ground Fault Super En</v>
      </c>
      <c r="T53" s="262">
        <v>0</v>
      </c>
      <c r="U53" s="262">
        <v>0</v>
      </c>
    </row>
    <row r="54" spans="1:21" x14ac:dyDescent="0.25">
      <c r="A54" s="6" t="str">
        <f>$A$3&amp;"_GEN1_VV1_DA_SF"</f>
        <v>BXX_GEN1_VV1_DA_SF</v>
      </c>
      <c r="B54" s="6" t="str">
        <f t="shared" si="1"/>
        <v>BXX</v>
      </c>
      <c r="C54" s="6" t="str">
        <f>$C$3&amp;" Louver Failed to Open"</f>
        <v>Station BXX Louver Failed to Open</v>
      </c>
      <c r="D54" s="4">
        <f t="shared" si="2"/>
        <v>33</v>
      </c>
      <c r="E54" s="262" t="s">
        <v>1</v>
      </c>
      <c r="F54" s="262" t="s">
        <v>1</v>
      </c>
      <c r="G54" s="262">
        <v>0</v>
      </c>
      <c r="H54" s="262" t="s">
        <v>0</v>
      </c>
      <c r="I54" s="262" t="s">
        <v>40</v>
      </c>
      <c r="J54" s="262" t="s">
        <v>50</v>
      </c>
      <c r="K54" s="262" t="s">
        <v>51</v>
      </c>
      <c r="L54" s="262" t="s">
        <v>42</v>
      </c>
      <c r="M54" s="220">
        <v>51</v>
      </c>
      <c r="N54" s="262" t="s">
        <v>49</v>
      </c>
      <c r="O54" s="6" t="str">
        <f>[1]BXXPLC1!$C$3</f>
        <v>BXX</v>
      </c>
      <c r="P54" s="262" t="s">
        <v>1</v>
      </c>
      <c r="Q54" s="6" t="str">
        <f>A54&amp;".eng"</f>
        <v>BXX_GEN1_VV1_DA_SF.eng</v>
      </c>
      <c r="R54" s="262" t="s">
        <v>1</v>
      </c>
      <c r="S54" s="6" t="str">
        <f t="shared" si="3"/>
        <v>Station BXX Louver Failed to Open</v>
      </c>
      <c r="T54" s="262">
        <v>0</v>
      </c>
      <c r="U54" s="262">
        <v>0</v>
      </c>
    </row>
    <row r="55" spans="1:21" x14ac:dyDescent="0.25">
      <c r="A55" s="6" t="str">
        <f>LEFT(A54,12)&amp;"_PB_"&amp;RIGHT(A54,2)&amp;"_RE"</f>
        <v>BXX_GEN1_VV1_PB_SF_RE</v>
      </c>
      <c r="B55" s="6" t="str">
        <f t="shared" si="1"/>
        <v>BXX</v>
      </c>
      <c r="C55" s="6" t="str">
        <f>C54 &amp;" Enable"</f>
        <v>Station BXX Louver Failed to Open Enable</v>
      </c>
      <c r="D55" s="4">
        <f t="shared" si="2"/>
        <v>40</v>
      </c>
      <c r="E55" s="262" t="s">
        <v>1</v>
      </c>
      <c r="F55" s="262" t="s">
        <v>0</v>
      </c>
      <c r="G55" s="262">
        <v>600</v>
      </c>
      <c r="H55" s="262" t="s">
        <v>0</v>
      </c>
      <c r="I55" s="262" t="s">
        <v>40</v>
      </c>
      <c r="J55" s="262" t="s">
        <v>52</v>
      </c>
      <c r="K55" s="262" t="s">
        <v>53</v>
      </c>
      <c r="L55" s="262" t="s">
        <v>41</v>
      </c>
      <c r="M55" s="220">
        <v>1</v>
      </c>
      <c r="N55" s="262" t="s">
        <v>49</v>
      </c>
      <c r="O55" s="6" t="str">
        <f>$O$6</f>
        <v>BXX</v>
      </c>
      <c r="P55" s="262" t="s">
        <v>1</v>
      </c>
      <c r="Q55" s="6" t="str">
        <f>A54&amp;".RE"</f>
        <v>BXX_GEN1_VV1_DA_SF.RE</v>
      </c>
      <c r="R55" s="262" t="s">
        <v>1</v>
      </c>
      <c r="S55" s="6" t="str">
        <f t="shared" si="3"/>
        <v>Station BXX Louver Failed to Open Enable</v>
      </c>
      <c r="T55" s="262">
        <v>0</v>
      </c>
      <c r="U55" s="262">
        <v>0</v>
      </c>
    </row>
    <row r="56" spans="1:21" x14ac:dyDescent="0.25">
      <c r="A56" s="6" t="str">
        <f>LEFT(A54,12)&amp;"_PB_"&amp;RIGHT(A54,2)&amp;"_DE"</f>
        <v>BXX_GEN1_VV1_PB_SF_DE</v>
      </c>
      <c r="B56" s="6" t="str">
        <f t="shared" si="1"/>
        <v>BXX</v>
      </c>
      <c r="C56" s="6" t="str">
        <f>$C54&amp;" Dialer En"</f>
        <v>Station BXX Louver Failed to Open Dialer En</v>
      </c>
      <c r="D56" s="4">
        <f t="shared" si="2"/>
        <v>43</v>
      </c>
      <c r="E56" s="262" t="s">
        <v>1</v>
      </c>
      <c r="F56" s="262" t="s">
        <v>0</v>
      </c>
      <c r="G56" s="262">
        <v>600</v>
      </c>
      <c r="H56" s="262" t="s">
        <v>0</v>
      </c>
      <c r="I56" s="262" t="s">
        <v>40</v>
      </c>
      <c r="J56" s="262" t="s">
        <v>52</v>
      </c>
      <c r="K56" s="262" t="s">
        <v>53</v>
      </c>
      <c r="L56" s="262" t="s">
        <v>41</v>
      </c>
      <c r="M56" s="220">
        <v>1</v>
      </c>
      <c r="N56" s="262" t="s">
        <v>49</v>
      </c>
      <c r="O56" s="6" t="str">
        <f>$O$6</f>
        <v>BXX</v>
      </c>
      <c r="P56" s="262" t="s">
        <v>1</v>
      </c>
      <c r="Q56" s="6" t="str">
        <f>A54&amp;".DE"</f>
        <v>BXX_GEN1_VV1_DA_SF.DE</v>
      </c>
      <c r="R56" s="262" t="s">
        <v>1</v>
      </c>
      <c r="S56" s="6" t="str">
        <f t="shared" si="3"/>
        <v>Station BXX Louver Failed to Open Dialer En</v>
      </c>
      <c r="T56" s="262">
        <v>0</v>
      </c>
      <c r="U56" s="262">
        <v>0</v>
      </c>
    </row>
    <row r="57" spans="1:21" x14ac:dyDescent="0.25">
      <c r="A57" s="6" t="str">
        <f>LEFT(A54,12)&amp;"_PB_"&amp;RIGHT(A54,2)&amp;"_SR"</f>
        <v>BXX_GEN1_VV1_PB_SF_SR</v>
      </c>
      <c r="B57" s="6" t="str">
        <f t="shared" si="1"/>
        <v>BXX</v>
      </c>
      <c r="C57" s="6" t="str">
        <f>$C54&amp;" Super En"</f>
        <v>Station BXX Louver Failed to Open Super En</v>
      </c>
      <c r="D57" s="4">
        <f t="shared" si="2"/>
        <v>42</v>
      </c>
      <c r="E57" s="262" t="s">
        <v>1</v>
      </c>
      <c r="F57" s="262" t="s">
        <v>0</v>
      </c>
      <c r="G57" s="262">
        <v>600</v>
      </c>
      <c r="H57" s="262" t="s">
        <v>0</v>
      </c>
      <c r="I57" s="262" t="s">
        <v>40</v>
      </c>
      <c r="J57" s="262" t="s">
        <v>52</v>
      </c>
      <c r="K57" s="262" t="s">
        <v>53</v>
      </c>
      <c r="L57" s="262" t="s">
        <v>41</v>
      </c>
      <c r="M57" s="220">
        <v>1</v>
      </c>
      <c r="N57" s="262" t="s">
        <v>49</v>
      </c>
      <c r="O57" s="6" t="str">
        <f>$O$6</f>
        <v>BXX</v>
      </c>
      <c r="P57" s="262" t="s">
        <v>1</v>
      </c>
      <c r="Q57" s="6" t="str">
        <f>A54&amp;".SR"</f>
        <v>BXX_GEN1_VV1_DA_SF.SR</v>
      </c>
      <c r="R57" s="262" t="s">
        <v>1</v>
      </c>
      <c r="S57" s="6" t="str">
        <f t="shared" si="3"/>
        <v>Station BXX Louver Failed to Open Super En</v>
      </c>
      <c r="T57" s="262">
        <v>0</v>
      </c>
      <c r="U57" s="262">
        <v>0</v>
      </c>
    </row>
    <row r="58" spans="1:21" x14ac:dyDescent="0.25">
      <c r="A58" s="6" t="str">
        <f>$A$3&amp;"_PSB1_TI1_DA_TL"</f>
        <v>BXX_PSB1_TI1_DA_TL</v>
      </c>
      <c r="B58" s="6" t="str">
        <f t="shared" si="1"/>
        <v>BXX</v>
      </c>
      <c r="C58" s="6" t="str">
        <f>$C$3&amp;" Low Temperature"</f>
        <v>Station BXX Low Temperature</v>
      </c>
      <c r="D58" s="4">
        <f t="shared" si="2"/>
        <v>27</v>
      </c>
      <c r="E58" s="262" t="s">
        <v>1</v>
      </c>
      <c r="F58" s="262" t="s">
        <v>1</v>
      </c>
      <c r="G58" s="262">
        <v>0</v>
      </c>
      <c r="H58" s="262" t="s">
        <v>0</v>
      </c>
      <c r="I58" s="262" t="s">
        <v>40</v>
      </c>
      <c r="J58" s="262" t="s">
        <v>50</v>
      </c>
      <c r="K58" s="262" t="s">
        <v>51</v>
      </c>
      <c r="L58" s="262" t="s">
        <v>42</v>
      </c>
      <c r="M58" s="220">
        <v>57</v>
      </c>
      <c r="N58" s="262" t="s">
        <v>49</v>
      </c>
      <c r="O58" s="6" t="str">
        <f>[1]BXXPLC1!$C$3</f>
        <v>BXX</v>
      </c>
      <c r="P58" s="262" t="s">
        <v>1</v>
      </c>
      <c r="Q58" s="6" t="str">
        <f>A58&amp;".eng"</f>
        <v>BXX_PSB1_TI1_DA_TL.eng</v>
      </c>
      <c r="R58" s="262" t="s">
        <v>1</v>
      </c>
      <c r="S58" s="6" t="str">
        <f t="shared" si="3"/>
        <v>Station BXX Low Temperature</v>
      </c>
      <c r="T58" s="262">
        <v>0</v>
      </c>
      <c r="U58" s="262">
        <v>0</v>
      </c>
    </row>
    <row r="59" spans="1:21" x14ac:dyDescent="0.25">
      <c r="A59" s="6" t="str">
        <f>LEFT(A58,12)&amp;"_PB_"&amp;RIGHT(A58,2)&amp;"_RE"</f>
        <v>BXX_PSB1_TI1_PB_TL_RE</v>
      </c>
      <c r="B59" s="6" t="str">
        <f t="shared" si="1"/>
        <v>BXX</v>
      </c>
      <c r="C59" s="6" t="str">
        <f>C58 &amp;" Enable"</f>
        <v>Station BXX Low Temperature Enable</v>
      </c>
      <c r="D59" s="4">
        <f t="shared" si="2"/>
        <v>34</v>
      </c>
      <c r="E59" s="262" t="s">
        <v>1</v>
      </c>
      <c r="F59" s="262" t="s">
        <v>0</v>
      </c>
      <c r="G59" s="262">
        <v>600</v>
      </c>
      <c r="H59" s="262" t="s">
        <v>0</v>
      </c>
      <c r="I59" s="262" t="s">
        <v>40</v>
      </c>
      <c r="J59" s="262" t="s">
        <v>52</v>
      </c>
      <c r="K59" s="262" t="s">
        <v>53</v>
      </c>
      <c r="L59" s="262" t="s">
        <v>41</v>
      </c>
      <c r="M59" s="220">
        <v>1</v>
      </c>
      <c r="N59" s="262" t="s">
        <v>49</v>
      </c>
      <c r="O59" s="6" t="str">
        <f>$O$6</f>
        <v>BXX</v>
      </c>
      <c r="P59" s="262" t="s">
        <v>1</v>
      </c>
      <c r="Q59" s="6" t="str">
        <f>A58&amp;".RE"</f>
        <v>BXX_PSB1_TI1_DA_TL.RE</v>
      </c>
      <c r="R59" s="262" t="s">
        <v>1</v>
      </c>
      <c r="S59" s="6" t="str">
        <f t="shared" si="3"/>
        <v>Station BXX Low Temperature Enable</v>
      </c>
      <c r="T59" s="262">
        <v>0</v>
      </c>
      <c r="U59" s="262">
        <v>0</v>
      </c>
    </row>
    <row r="60" spans="1:21" x14ac:dyDescent="0.25">
      <c r="A60" s="6" t="str">
        <f>LEFT(A58,12)&amp;"_PB_"&amp;RIGHT(A58,2)&amp;"_DE"</f>
        <v>BXX_PSB1_TI1_PB_TL_DE</v>
      </c>
      <c r="B60" s="6" t="str">
        <f t="shared" si="1"/>
        <v>BXX</v>
      </c>
      <c r="C60" s="6" t="str">
        <f>$C58&amp;" Dialer En"</f>
        <v>Station BXX Low Temperature Dialer En</v>
      </c>
      <c r="D60" s="4">
        <f t="shared" si="2"/>
        <v>37</v>
      </c>
      <c r="E60" s="262" t="s">
        <v>1</v>
      </c>
      <c r="F60" s="262" t="s">
        <v>0</v>
      </c>
      <c r="G60" s="262">
        <v>600</v>
      </c>
      <c r="H60" s="262" t="s">
        <v>0</v>
      </c>
      <c r="I60" s="262" t="s">
        <v>40</v>
      </c>
      <c r="J60" s="262" t="s">
        <v>52</v>
      </c>
      <c r="K60" s="262" t="s">
        <v>53</v>
      </c>
      <c r="L60" s="262" t="s">
        <v>41</v>
      </c>
      <c r="M60" s="220">
        <v>1</v>
      </c>
      <c r="N60" s="262" t="s">
        <v>49</v>
      </c>
      <c r="O60" s="6" t="str">
        <f>$O$6</f>
        <v>BXX</v>
      </c>
      <c r="P60" s="262" t="s">
        <v>1</v>
      </c>
      <c r="Q60" s="6" t="str">
        <f>A58&amp;".DE"</f>
        <v>BXX_PSB1_TI1_DA_TL.DE</v>
      </c>
      <c r="R60" s="262" t="s">
        <v>1</v>
      </c>
      <c r="S60" s="6" t="str">
        <f t="shared" si="3"/>
        <v>Station BXX Low Temperature Dialer En</v>
      </c>
      <c r="T60" s="262">
        <v>0</v>
      </c>
      <c r="U60" s="262">
        <v>0</v>
      </c>
    </row>
    <row r="61" spans="1:21" x14ac:dyDescent="0.25">
      <c r="A61" s="6" t="str">
        <f>LEFT(A58,12)&amp;"_PB_"&amp;RIGHT(A58,2)&amp;"_SR"</f>
        <v>BXX_PSB1_TI1_PB_TL_SR</v>
      </c>
      <c r="B61" s="6" t="str">
        <f t="shared" si="1"/>
        <v>BXX</v>
      </c>
      <c r="C61" s="6" t="str">
        <f>$C58&amp;" Super En"</f>
        <v>Station BXX Low Temperature Super En</v>
      </c>
      <c r="D61" s="4">
        <f t="shared" si="2"/>
        <v>36</v>
      </c>
      <c r="E61" s="262" t="s">
        <v>1</v>
      </c>
      <c r="F61" s="262" t="s">
        <v>0</v>
      </c>
      <c r="G61" s="262">
        <v>600</v>
      </c>
      <c r="H61" s="262" t="s">
        <v>0</v>
      </c>
      <c r="I61" s="262" t="s">
        <v>40</v>
      </c>
      <c r="J61" s="262" t="s">
        <v>52</v>
      </c>
      <c r="K61" s="262" t="s">
        <v>53</v>
      </c>
      <c r="L61" s="262" t="s">
        <v>41</v>
      </c>
      <c r="M61" s="220">
        <v>1</v>
      </c>
      <c r="N61" s="262" t="s">
        <v>49</v>
      </c>
      <c r="O61" s="6" t="str">
        <f>$O$6</f>
        <v>BXX</v>
      </c>
      <c r="P61" s="262" t="s">
        <v>1</v>
      </c>
      <c r="Q61" s="6" t="str">
        <f>A58&amp;".SR"</f>
        <v>BXX_PSB1_TI1_DA_TL.SR</v>
      </c>
      <c r="R61" s="262" t="s">
        <v>1</v>
      </c>
      <c r="S61" s="6" t="str">
        <f t="shared" si="3"/>
        <v>Station BXX Low Temperature Super En</v>
      </c>
      <c r="T61" s="262">
        <v>0</v>
      </c>
      <c r="U61" s="262">
        <v>0</v>
      </c>
    </row>
    <row r="62" spans="1:21" x14ac:dyDescent="0.25">
      <c r="A62" s="6" t="str">
        <f>$A$3&amp;"_PSB1_TI1_DA_TH"</f>
        <v>BXX_PSB1_TI1_DA_TH</v>
      </c>
      <c r="B62" s="6" t="str">
        <f t="shared" si="1"/>
        <v>BXX</v>
      </c>
      <c r="C62" s="6" t="str">
        <f>$C$3&amp;" High Temperature"</f>
        <v>Station BXX High Temperature</v>
      </c>
      <c r="D62" s="4">
        <f t="shared" si="2"/>
        <v>28</v>
      </c>
      <c r="E62" s="262" t="s">
        <v>1</v>
      </c>
      <c r="F62" s="262" t="s">
        <v>1</v>
      </c>
      <c r="G62" s="262">
        <v>0</v>
      </c>
      <c r="H62" s="262" t="s">
        <v>0</v>
      </c>
      <c r="I62" s="262" t="s">
        <v>40</v>
      </c>
      <c r="J62" s="262" t="s">
        <v>50</v>
      </c>
      <c r="K62" s="262" t="s">
        <v>51</v>
      </c>
      <c r="L62" s="262" t="s">
        <v>42</v>
      </c>
      <c r="M62" s="220">
        <v>56</v>
      </c>
      <c r="N62" s="262" t="s">
        <v>49</v>
      </c>
      <c r="O62" s="6" t="str">
        <f>[1]BXXPLC1!$C$3</f>
        <v>BXX</v>
      </c>
      <c r="P62" s="262" t="s">
        <v>1</v>
      </c>
      <c r="Q62" s="6" t="str">
        <f>A62&amp;".eng"</f>
        <v>BXX_PSB1_TI1_DA_TH.eng</v>
      </c>
      <c r="R62" s="262" t="s">
        <v>1</v>
      </c>
      <c r="S62" s="6" t="str">
        <f t="shared" si="3"/>
        <v>Station BXX High Temperature</v>
      </c>
      <c r="T62" s="262">
        <v>0</v>
      </c>
      <c r="U62" s="262">
        <v>0</v>
      </c>
    </row>
    <row r="63" spans="1:21" x14ac:dyDescent="0.25">
      <c r="A63" s="6" t="str">
        <f>LEFT(A62,12)&amp;"_PB_"&amp;RIGHT(A62,2)&amp;"_RE"</f>
        <v>BXX_PSB1_TI1_PB_TH_RE</v>
      </c>
      <c r="B63" s="6" t="str">
        <f t="shared" si="1"/>
        <v>BXX</v>
      </c>
      <c r="C63" s="6" t="str">
        <f>C62 &amp;" Enable"</f>
        <v>Station BXX High Temperature Enable</v>
      </c>
      <c r="D63" s="4">
        <f t="shared" si="2"/>
        <v>35</v>
      </c>
      <c r="E63" s="262" t="s">
        <v>1</v>
      </c>
      <c r="F63" s="262" t="s">
        <v>0</v>
      </c>
      <c r="G63" s="262">
        <v>600</v>
      </c>
      <c r="H63" s="262" t="s">
        <v>0</v>
      </c>
      <c r="I63" s="262" t="s">
        <v>40</v>
      </c>
      <c r="J63" s="262" t="s">
        <v>52</v>
      </c>
      <c r="K63" s="262" t="s">
        <v>53</v>
      </c>
      <c r="L63" s="262" t="s">
        <v>41</v>
      </c>
      <c r="M63" s="220">
        <v>1</v>
      </c>
      <c r="N63" s="262" t="s">
        <v>49</v>
      </c>
      <c r="O63" s="6" t="str">
        <f>$O$6</f>
        <v>BXX</v>
      </c>
      <c r="P63" s="262" t="s">
        <v>1</v>
      </c>
      <c r="Q63" s="6" t="str">
        <f>A62&amp;".RE"</f>
        <v>BXX_PSB1_TI1_DA_TH.RE</v>
      </c>
      <c r="R63" s="262" t="s">
        <v>1</v>
      </c>
      <c r="S63" s="6" t="str">
        <f t="shared" si="3"/>
        <v>Station BXX High Temperature Enable</v>
      </c>
      <c r="T63" s="262">
        <v>0</v>
      </c>
      <c r="U63" s="262">
        <v>0</v>
      </c>
    </row>
    <row r="64" spans="1:21" x14ac:dyDescent="0.25">
      <c r="A64" s="6" t="str">
        <f>LEFT(A62,12)&amp;"_PB_"&amp;RIGHT(A62,2)&amp;"_DE"</f>
        <v>BXX_PSB1_TI1_PB_TH_DE</v>
      </c>
      <c r="B64" s="6" t="str">
        <f t="shared" si="1"/>
        <v>BXX</v>
      </c>
      <c r="C64" s="6" t="str">
        <f>$C62&amp;" Dialer En"</f>
        <v>Station BXX High Temperature Dialer En</v>
      </c>
      <c r="D64" s="4">
        <f t="shared" si="2"/>
        <v>38</v>
      </c>
      <c r="E64" s="262" t="s">
        <v>1</v>
      </c>
      <c r="F64" s="262" t="s">
        <v>0</v>
      </c>
      <c r="G64" s="262">
        <v>600</v>
      </c>
      <c r="H64" s="262" t="s">
        <v>0</v>
      </c>
      <c r="I64" s="262" t="s">
        <v>40</v>
      </c>
      <c r="J64" s="262" t="s">
        <v>52</v>
      </c>
      <c r="K64" s="262" t="s">
        <v>53</v>
      </c>
      <c r="L64" s="262" t="s">
        <v>41</v>
      </c>
      <c r="M64" s="220">
        <v>1</v>
      </c>
      <c r="N64" s="262" t="s">
        <v>49</v>
      </c>
      <c r="O64" s="6" t="str">
        <f>$O$6</f>
        <v>BXX</v>
      </c>
      <c r="P64" s="262" t="s">
        <v>1</v>
      </c>
      <c r="Q64" s="6" t="str">
        <f>A62&amp;".DE"</f>
        <v>BXX_PSB1_TI1_DA_TH.DE</v>
      </c>
      <c r="R64" s="262" t="s">
        <v>1</v>
      </c>
      <c r="S64" s="6" t="str">
        <f t="shared" si="3"/>
        <v>Station BXX High Temperature Dialer En</v>
      </c>
      <c r="T64" s="262">
        <v>0</v>
      </c>
      <c r="U64" s="262">
        <v>0</v>
      </c>
    </row>
    <row r="65" spans="1:21" x14ac:dyDescent="0.25">
      <c r="A65" s="6" t="str">
        <f>LEFT(A62,12)&amp;"_PB_"&amp;RIGHT(A62,2)&amp;"_SR"</f>
        <v>BXX_PSB1_TI1_PB_TH_SR</v>
      </c>
      <c r="B65" s="6" t="str">
        <f t="shared" si="1"/>
        <v>BXX</v>
      </c>
      <c r="C65" s="6" t="str">
        <f>$C62&amp;" Super En"</f>
        <v>Station BXX High Temperature Super En</v>
      </c>
      <c r="D65" s="4">
        <f t="shared" si="2"/>
        <v>37</v>
      </c>
      <c r="E65" s="262" t="s">
        <v>1</v>
      </c>
      <c r="F65" s="262" t="s">
        <v>0</v>
      </c>
      <c r="G65" s="262">
        <v>600</v>
      </c>
      <c r="H65" s="262" t="s">
        <v>0</v>
      </c>
      <c r="I65" s="262" t="s">
        <v>40</v>
      </c>
      <c r="J65" s="262" t="s">
        <v>52</v>
      </c>
      <c r="K65" s="262" t="s">
        <v>53</v>
      </c>
      <c r="L65" s="262" t="s">
        <v>41</v>
      </c>
      <c r="M65" s="220">
        <v>1</v>
      </c>
      <c r="N65" s="262" t="s">
        <v>49</v>
      </c>
      <c r="O65" s="6" t="str">
        <f>$O$6</f>
        <v>BXX</v>
      </c>
      <c r="P65" s="262" t="s">
        <v>1</v>
      </c>
      <c r="Q65" s="6" t="str">
        <f>A62&amp;".SR"</f>
        <v>BXX_PSB1_TI1_DA_TH.SR</v>
      </c>
      <c r="R65" s="262" t="s">
        <v>1</v>
      </c>
      <c r="S65" s="6" t="str">
        <f t="shared" si="3"/>
        <v>Station BXX High Temperature Super En</v>
      </c>
      <c r="T65" s="262">
        <v>0</v>
      </c>
      <c r="U65" s="262">
        <v>0</v>
      </c>
    </row>
    <row r="66" spans="1:21" x14ac:dyDescent="0.25">
      <c r="A66" s="6" t="str">
        <f>$A$3&amp;"_DW01_LE1_DA_KA"</f>
        <v>BXX_DW01_LE1_DA_KA</v>
      </c>
      <c r="B66" s="6" t="str">
        <f t="shared" si="1"/>
        <v>BXX</v>
      </c>
      <c r="C66" s="6" t="str">
        <f>$C$3&amp;" Dry Well Flood"</f>
        <v>Station BXX Dry Well Flood</v>
      </c>
      <c r="D66" s="4">
        <f t="shared" si="2"/>
        <v>26</v>
      </c>
      <c r="E66" s="262" t="s">
        <v>1</v>
      </c>
      <c r="F66" s="262" t="s">
        <v>1</v>
      </c>
      <c r="G66" s="262">
        <v>0</v>
      </c>
      <c r="H66" s="262" t="s">
        <v>0</v>
      </c>
      <c r="I66" s="262" t="s">
        <v>40</v>
      </c>
      <c r="J66" s="262" t="s">
        <v>50</v>
      </c>
      <c r="K66" s="262" t="s">
        <v>51</v>
      </c>
      <c r="L66" s="262" t="s">
        <v>42</v>
      </c>
      <c r="M66" s="220">
        <v>9</v>
      </c>
      <c r="N66" s="262" t="s">
        <v>49</v>
      </c>
      <c r="O66" s="6" t="str">
        <f>[1]BXXPLC1!$C$3</f>
        <v>BXX</v>
      </c>
      <c r="P66" s="262" t="s">
        <v>1</v>
      </c>
      <c r="Q66" s="6" t="str">
        <f>A66&amp;".eng"</f>
        <v>BXX_DW01_LE1_DA_KA.eng</v>
      </c>
      <c r="R66" s="262" t="s">
        <v>1</v>
      </c>
      <c r="S66" s="6" t="str">
        <f t="shared" si="3"/>
        <v>Station BXX Dry Well Flood</v>
      </c>
      <c r="T66" s="262">
        <v>0</v>
      </c>
      <c r="U66" s="262">
        <v>0</v>
      </c>
    </row>
    <row r="67" spans="1:21" x14ac:dyDescent="0.25">
      <c r="A67" s="6" t="str">
        <f>LEFT(A66,12)&amp;"_PB_"&amp;RIGHT(A66,2)&amp;"_RE"</f>
        <v>BXX_DW01_LE1_PB_KA_RE</v>
      </c>
      <c r="B67" s="6" t="str">
        <f t="shared" si="1"/>
        <v>BXX</v>
      </c>
      <c r="C67" s="6" t="str">
        <f>C66 &amp;" Enable"</f>
        <v>Station BXX Dry Well Flood Enable</v>
      </c>
      <c r="D67" s="4">
        <f t="shared" si="2"/>
        <v>33</v>
      </c>
      <c r="E67" s="262" t="s">
        <v>1</v>
      </c>
      <c r="F67" s="262" t="s">
        <v>0</v>
      </c>
      <c r="G67" s="262">
        <v>600</v>
      </c>
      <c r="H67" s="262" t="s">
        <v>0</v>
      </c>
      <c r="I67" s="262" t="s">
        <v>40</v>
      </c>
      <c r="J67" s="262" t="s">
        <v>52</v>
      </c>
      <c r="K67" s="262" t="s">
        <v>53</v>
      </c>
      <c r="L67" s="262" t="s">
        <v>41</v>
      </c>
      <c r="M67" s="220">
        <v>1</v>
      </c>
      <c r="N67" s="262" t="s">
        <v>49</v>
      </c>
      <c r="O67" s="6" t="str">
        <f>$O$6</f>
        <v>BXX</v>
      </c>
      <c r="P67" s="262" t="s">
        <v>1</v>
      </c>
      <c r="Q67" s="6" t="str">
        <f>A66&amp;".RE"</f>
        <v>BXX_DW01_LE1_DA_KA.RE</v>
      </c>
      <c r="R67" s="262" t="s">
        <v>1</v>
      </c>
      <c r="S67" s="6" t="str">
        <f t="shared" si="3"/>
        <v>Station BXX Dry Well Flood Enable</v>
      </c>
      <c r="T67" s="262">
        <v>0</v>
      </c>
      <c r="U67" s="262">
        <v>0</v>
      </c>
    </row>
    <row r="68" spans="1:21" x14ac:dyDescent="0.25">
      <c r="A68" s="6" t="str">
        <f>LEFT(A66,12)&amp;"_PB_"&amp;RIGHT(A66,2)&amp;"_DE"</f>
        <v>BXX_DW01_LE1_PB_KA_DE</v>
      </c>
      <c r="B68" s="6" t="str">
        <f t="shared" si="1"/>
        <v>BXX</v>
      </c>
      <c r="C68" s="6" t="str">
        <f>$C66&amp;" Dialer En"</f>
        <v>Station BXX Dry Well Flood Dialer En</v>
      </c>
      <c r="D68" s="4">
        <f t="shared" si="2"/>
        <v>36</v>
      </c>
      <c r="E68" s="262" t="s">
        <v>1</v>
      </c>
      <c r="F68" s="262" t="s">
        <v>0</v>
      </c>
      <c r="G68" s="262">
        <v>600</v>
      </c>
      <c r="H68" s="262" t="s">
        <v>0</v>
      </c>
      <c r="I68" s="262" t="s">
        <v>40</v>
      </c>
      <c r="J68" s="262" t="s">
        <v>52</v>
      </c>
      <c r="K68" s="262" t="s">
        <v>53</v>
      </c>
      <c r="L68" s="262" t="s">
        <v>41</v>
      </c>
      <c r="M68" s="220">
        <v>1</v>
      </c>
      <c r="N68" s="262" t="s">
        <v>49</v>
      </c>
      <c r="O68" s="6" t="str">
        <f>$O$6</f>
        <v>BXX</v>
      </c>
      <c r="P68" s="262" t="s">
        <v>1</v>
      </c>
      <c r="Q68" s="6" t="str">
        <f>A66&amp;".DE"</f>
        <v>BXX_DW01_LE1_DA_KA.DE</v>
      </c>
      <c r="R68" s="262" t="s">
        <v>1</v>
      </c>
      <c r="S68" s="6" t="str">
        <f t="shared" si="3"/>
        <v>Station BXX Dry Well Flood Dialer En</v>
      </c>
      <c r="T68" s="262">
        <v>0</v>
      </c>
      <c r="U68" s="262">
        <v>0</v>
      </c>
    </row>
    <row r="69" spans="1:21" x14ac:dyDescent="0.25">
      <c r="A69" s="6" t="str">
        <f>LEFT(A66,12)&amp;"_PB_"&amp;RIGHT(A66,2)&amp;"_SR"</f>
        <v>BXX_DW01_LE1_PB_KA_SR</v>
      </c>
      <c r="B69" s="6" t="str">
        <f t="shared" si="1"/>
        <v>BXX</v>
      </c>
      <c r="C69" s="6" t="str">
        <f>$C66&amp;" Super En"</f>
        <v>Station BXX Dry Well Flood Super En</v>
      </c>
      <c r="D69" s="4">
        <f t="shared" si="2"/>
        <v>35</v>
      </c>
      <c r="E69" s="262" t="s">
        <v>1</v>
      </c>
      <c r="F69" s="262" t="s">
        <v>0</v>
      </c>
      <c r="G69" s="262">
        <v>600</v>
      </c>
      <c r="H69" s="262" t="s">
        <v>0</v>
      </c>
      <c r="I69" s="262" t="s">
        <v>40</v>
      </c>
      <c r="J69" s="262" t="s">
        <v>52</v>
      </c>
      <c r="K69" s="262" t="s">
        <v>53</v>
      </c>
      <c r="L69" s="262" t="s">
        <v>41</v>
      </c>
      <c r="M69" s="220">
        <v>1</v>
      </c>
      <c r="N69" s="262" t="s">
        <v>49</v>
      </c>
      <c r="O69" s="6" t="str">
        <f>$O$6</f>
        <v>BXX</v>
      </c>
      <c r="P69" s="262" t="s">
        <v>1</v>
      </c>
      <c r="Q69" s="6" t="str">
        <f>A66&amp;".SR"</f>
        <v>BXX_DW01_LE1_DA_KA.SR</v>
      </c>
      <c r="R69" s="262" t="s">
        <v>1</v>
      </c>
      <c r="S69" s="6" t="str">
        <f t="shared" si="3"/>
        <v>Station BXX Dry Well Flood Super En</v>
      </c>
      <c r="T69" s="262">
        <v>0</v>
      </c>
      <c r="U69" s="262">
        <v>0</v>
      </c>
    </row>
    <row r="70" spans="1:21" x14ac:dyDescent="0.25">
      <c r="A70" s="6" t="str">
        <f>$A$3&amp;"_PSB1_001_DA_YA"</f>
        <v>BXX_PSB1_001_DA_YA</v>
      </c>
      <c r="B70" s="6" t="str">
        <f t="shared" si="1"/>
        <v>BXX</v>
      </c>
      <c r="C70" s="6" t="str">
        <f>$C$3&amp;" Fire Alarm"</f>
        <v>Station BXX Fire Alarm</v>
      </c>
      <c r="D70" s="4">
        <f t="shared" ref="D70:D125" si="4">LEN(C70)</f>
        <v>22</v>
      </c>
      <c r="E70" s="262" t="s">
        <v>1</v>
      </c>
      <c r="F70" s="262" t="s">
        <v>1</v>
      </c>
      <c r="G70" s="262">
        <v>0</v>
      </c>
      <c r="H70" s="262" t="s">
        <v>0</v>
      </c>
      <c r="I70" s="262" t="s">
        <v>40</v>
      </c>
      <c r="J70" s="262" t="s">
        <v>50</v>
      </c>
      <c r="K70" s="262" t="s">
        <v>51</v>
      </c>
      <c r="L70" s="262" t="s">
        <v>42</v>
      </c>
      <c r="M70" s="220">
        <v>1</v>
      </c>
      <c r="N70" s="262" t="s">
        <v>49</v>
      </c>
      <c r="O70" s="6" t="str">
        <f>[1]BXXPLC1!$C$3</f>
        <v>BXX</v>
      </c>
      <c r="P70" s="262" t="s">
        <v>1</v>
      </c>
      <c r="Q70" s="6" t="str">
        <f>A70&amp;".eng"</f>
        <v>BXX_PSB1_001_DA_YA.eng</v>
      </c>
      <c r="R70" s="262" t="s">
        <v>1</v>
      </c>
      <c r="S70" s="6" t="str">
        <f t="shared" ref="S70:S101" si="5">C70</f>
        <v>Station BXX Fire Alarm</v>
      </c>
      <c r="T70" s="262">
        <v>0</v>
      </c>
      <c r="U70" s="262">
        <v>0</v>
      </c>
    </row>
    <row r="71" spans="1:21" x14ac:dyDescent="0.25">
      <c r="A71" s="6" t="str">
        <f>LEFT(A70,12)&amp;"_PB_"&amp;RIGHT(A70,2)&amp;"_RE"</f>
        <v>BXX_PSB1_001_PB_YA_RE</v>
      </c>
      <c r="B71" s="6" t="str">
        <f t="shared" si="1"/>
        <v>BXX</v>
      </c>
      <c r="C71" s="6" t="str">
        <f>C70 &amp;" Enable"</f>
        <v>Station BXX Fire Alarm Enable</v>
      </c>
      <c r="D71" s="4">
        <f t="shared" si="4"/>
        <v>29</v>
      </c>
      <c r="E71" s="262" t="s">
        <v>1</v>
      </c>
      <c r="F71" s="262" t="s">
        <v>0</v>
      </c>
      <c r="G71" s="262">
        <v>600</v>
      </c>
      <c r="H71" s="262" t="s">
        <v>0</v>
      </c>
      <c r="I71" s="262" t="s">
        <v>40</v>
      </c>
      <c r="J71" s="262" t="s">
        <v>52</v>
      </c>
      <c r="K71" s="262" t="s">
        <v>53</v>
      </c>
      <c r="L71" s="262" t="s">
        <v>41</v>
      </c>
      <c r="M71" s="220">
        <v>1</v>
      </c>
      <c r="N71" s="262" t="s">
        <v>49</v>
      </c>
      <c r="O71" s="6" t="str">
        <f>$O$6</f>
        <v>BXX</v>
      </c>
      <c r="P71" s="262" t="s">
        <v>1</v>
      </c>
      <c r="Q71" s="6" t="str">
        <f>A70&amp;".RE"</f>
        <v>BXX_PSB1_001_DA_YA.RE</v>
      </c>
      <c r="R71" s="262" t="s">
        <v>1</v>
      </c>
      <c r="S71" s="6" t="str">
        <f t="shared" si="5"/>
        <v>Station BXX Fire Alarm Enable</v>
      </c>
      <c r="T71" s="262">
        <v>0</v>
      </c>
      <c r="U71" s="262">
        <v>0</v>
      </c>
    </row>
    <row r="72" spans="1:21" x14ac:dyDescent="0.25">
      <c r="A72" s="6" t="str">
        <f>LEFT(A70,12)&amp;"_PB_"&amp;RIGHT(A70,2)&amp;"_DE"</f>
        <v>BXX_PSB1_001_PB_YA_DE</v>
      </c>
      <c r="B72" s="6" t="str">
        <f t="shared" si="1"/>
        <v>BXX</v>
      </c>
      <c r="C72" s="6" t="str">
        <f>$C70&amp;" Dialer En"</f>
        <v>Station BXX Fire Alarm Dialer En</v>
      </c>
      <c r="D72" s="4">
        <f t="shared" si="4"/>
        <v>32</v>
      </c>
      <c r="E72" s="262" t="s">
        <v>1</v>
      </c>
      <c r="F72" s="262" t="s">
        <v>0</v>
      </c>
      <c r="G72" s="262">
        <v>600</v>
      </c>
      <c r="H72" s="262" t="s">
        <v>0</v>
      </c>
      <c r="I72" s="262" t="s">
        <v>40</v>
      </c>
      <c r="J72" s="262" t="s">
        <v>52</v>
      </c>
      <c r="K72" s="262" t="s">
        <v>53</v>
      </c>
      <c r="L72" s="262" t="s">
        <v>41</v>
      </c>
      <c r="M72" s="220">
        <v>1</v>
      </c>
      <c r="N72" s="262" t="s">
        <v>49</v>
      </c>
      <c r="O72" s="6" t="str">
        <f>$O$6</f>
        <v>BXX</v>
      </c>
      <c r="P72" s="262" t="s">
        <v>1</v>
      </c>
      <c r="Q72" s="6" t="str">
        <f>A70&amp;".DE"</f>
        <v>BXX_PSB1_001_DA_YA.DE</v>
      </c>
      <c r="R72" s="262" t="s">
        <v>1</v>
      </c>
      <c r="S72" s="6" t="str">
        <f t="shared" si="5"/>
        <v>Station BXX Fire Alarm Dialer En</v>
      </c>
      <c r="T72" s="262">
        <v>0</v>
      </c>
      <c r="U72" s="262">
        <v>0</v>
      </c>
    </row>
    <row r="73" spans="1:21" x14ac:dyDescent="0.25">
      <c r="A73" s="6" t="str">
        <f>LEFT(A70,12)&amp;"_PB_"&amp;RIGHT(A70,2)&amp;"_SR"</f>
        <v>BXX_PSB1_001_PB_YA_SR</v>
      </c>
      <c r="B73" s="6" t="str">
        <f t="shared" si="1"/>
        <v>BXX</v>
      </c>
      <c r="C73" s="6" t="str">
        <f>$C70&amp;" Super En"</f>
        <v>Station BXX Fire Alarm Super En</v>
      </c>
      <c r="D73" s="4">
        <f t="shared" si="4"/>
        <v>31</v>
      </c>
      <c r="E73" s="262" t="s">
        <v>1</v>
      </c>
      <c r="F73" s="262" t="s">
        <v>0</v>
      </c>
      <c r="G73" s="262">
        <v>600</v>
      </c>
      <c r="H73" s="262" t="s">
        <v>0</v>
      </c>
      <c r="I73" s="262" t="s">
        <v>40</v>
      </c>
      <c r="J73" s="262" t="s">
        <v>52</v>
      </c>
      <c r="K73" s="262" t="s">
        <v>53</v>
      </c>
      <c r="L73" s="262" t="s">
        <v>41</v>
      </c>
      <c r="M73" s="220">
        <v>1</v>
      </c>
      <c r="N73" s="262" t="s">
        <v>49</v>
      </c>
      <c r="O73" s="6" t="str">
        <f>$O$6</f>
        <v>BXX</v>
      </c>
      <c r="P73" s="262" t="s">
        <v>1</v>
      </c>
      <c r="Q73" s="6" t="str">
        <f>A70&amp;".SR"</f>
        <v>BXX_PSB1_001_DA_YA.SR</v>
      </c>
      <c r="R73" s="262" t="s">
        <v>1</v>
      </c>
      <c r="S73" s="6" t="str">
        <f t="shared" si="5"/>
        <v>Station BXX Fire Alarm Super En</v>
      </c>
      <c r="T73" s="262">
        <v>0</v>
      </c>
      <c r="U73" s="262">
        <v>0</v>
      </c>
    </row>
    <row r="74" spans="1:21" x14ac:dyDescent="0.25">
      <c r="A74" s="6" t="str">
        <f>$A$3&amp;"_GDS1_GI1_DA_AR"</f>
        <v>BXX_GDS1_GI1_DA_AR</v>
      </c>
      <c r="B74" s="6" t="str">
        <f t="shared" si="1"/>
        <v>BXX</v>
      </c>
      <c r="C74" s="6" t="str">
        <f>$C$3&amp;" Gas Detector Failure"</f>
        <v>Station BXX Gas Detector Failure</v>
      </c>
      <c r="D74" s="4">
        <f t="shared" si="4"/>
        <v>32</v>
      </c>
      <c r="E74" s="262" t="s">
        <v>1</v>
      </c>
      <c r="F74" s="262" t="s">
        <v>1</v>
      </c>
      <c r="G74" s="262">
        <v>0</v>
      </c>
      <c r="H74" s="262" t="s">
        <v>0</v>
      </c>
      <c r="I74" s="262" t="s">
        <v>40</v>
      </c>
      <c r="J74" s="262" t="s">
        <v>50</v>
      </c>
      <c r="K74" s="262" t="s">
        <v>51</v>
      </c>
      <c r="L74" s="262" t="s">
        <v>42</v>
      </c>
      <c r="M74" s="220">
        <v>12</v>
      </c>
      <c r="N74" s="262" t="s">
        <v>49</v>
      </c>
      <c r="O74" s="6" t="str">
        <f>[1]BXXPLC1!$C$3</f>
        <v>BXX</v>
      </c>
      <c r="P74" s="262" t="s">
        <v>1</v>
      </c>
      <c r="Q74" s="6" t="str">
        <f>A74&amp;".eng"</f>
        <v>BXX_GDS1_GI1_DA_AR.eng</v>
      </c>
      <c r="R74" s="262" t="s">
        <v>1</v>
      </c>
      <c r="S74" s="6" t="str">
        <f t="shared" si="5"/>
        <v>Station BXX Gas Detector Failure</v>
      </c>
      <c r="T74" s="262">
        <v>0</v>
      </c>
      <c r="U74" s="262">
        <v>0</v>
      </c>
    </row>
    <row r="75" spans="1:21" x14ac:dyDescent="0.25">
      <c r="A75" s="6" t="str">
        <f>LEFT(A74,12)&amp;"_PB_"&amp;RIGHT(A74,2)&amp;"_RE"</f>
        <v>BXX_GDS1_GI1_PB_AR_RE</v>
      </c>
      <c r="B75" s="6" t="str">
        <f t="shared" ref="B75:B101" si="6">$A$3</f>
        <v>BXX</v>
      </c>
      <c r="C75" s="6" t="str">
        <f>C74 &amp;" Enable"</f>
        <v>Station BXX Gas Detector Failure Enable</v>
      </c>
      <c r="D75" s="4">
        <f t="shared" si="4"/>
        <v>39</v>
      </c>
      <c r="E75" s="262" t="s">
        <v>1</v>
      </c>
      <c r="F75" s="262" t="s">
        <v>0</v>
      </c>
      <c r="G75" s="262">
        <v>600</v>
      </c>
      <c r="H75" s="262" t="s">
        <v>0</v>
      </c>
      <c r="I75" s="262" t="s">
        <v>40</v>
      </c>
      <c r="J75" s="262" t="s">
        <v>52</v>
      </c>
      <c r="K75" s="262" t="s">
        <v>53</v>
      </c>
      <c r="L75" s="262" t="s">
        <v>41</v>
      </c>
      <c r="M75" s="220">
        <v>1</v>
      </c>
      <c r="N75" s="262" t="s">
        <v>49</v>
      </c>
      <c r="O75" s="6" t="str">
        <f>$O$6</f>
        <v>BXX</v>
      </c>
      <c r="P75" s="262" t="s">
        <v>1</v>
      </c>
      <c r="Q75" s="6" t="str">
        <f>A74&amp;".RE"</f>
        <v>BXX_GDS1_GI1_DA_AR.RE</v>
      </c>
      <c r="R75" s="262" t="s">
        <v>1</v>
      </c>
      <c r="S75" s="6" t="str">
        <f t="shared" si="5"/>
        <v>Station BXX Gas Detector Failure Enable</v>
      </c>
      <c r="T75" s="262">
        <v>0</v>
      </c>
      <c r="U75" s="262">
        <v>0</v>
      </c>
    </row>
    <row r="76" spans="1:21" x14ac:dyDescent="0.25">
      <c r="A76" s="6" t="str">
        <f>LEFT(A74,12)&amp;"_PB_"&amp;RIGHT(A74,2)&amp;"_DE"</f>
        <v>BXX_GDS1_GI1_PB_AR_DE</v>
      </c>
      <c r="B76" s="6" t="str">
        <f t="shared" si="6"/>
        <v>BXX</v>
      </c>
      <c r="C76" s="6" t="str">
        <f>$C74&amp;" Dialer En"</f>
        <v>Station BXX Gas Detector Failure Dialer En</v>
      </c>
      <c r="D76" s="4">
        <f t="shared" si="4"/>
        <v>42</v>
      </c>
      <c r="E76" s="262" t="s">
        <v>1</v>
      </c>
      <c r="F76" s="262" t="s">
        <v>0</v>
      </c>
      <c r="G76" s="262">
        <v>600</v>
      </c>
      <c r="H76" s="262" t="s">
        <v>0</v>
      </c>
      <c r="I76" s="262" t="s">
        <v>40</v>
      </c>
      <c r="J76" s="262" t="s">
        <v>52</v>
      </c>
      <c r="K76" s="262" t="s">
        <v>53</v>
      </c>
      <c r="L76" s="262" t="s">
        <v>41</v>
      </c>
      <c r="M76" s="220">
        <v>1</v>
      </c>
      <c r="N76" s="262" t="s">
        <v>49</v>
      </c>
      <c r="O76" s="6" t="str">
        <f>$O$6</f>
        <v>BXX</v>
      </c>
      <c r="P76" s="262" t="s">
        <v>1</v>
      </c>
      <c r="Q76" s="6" t="str">
        <f>A74&amp;".DE"</f>
        <v>BXX_GDS1_GI1_DA_AR.DE</v>
      </c>
      <c r="R76" s="262" t="s">
        <v>1</v>
      </c>
      <c r="S76" s="6" t="str">
        <f t="shared" si="5"/>
        <v>Station BXX Gas Detector Failure Dialer En</v>
      </c>
      <c r="T76" s="262">
        <v>0</v>
      </c>
      <c r="U76" s="262">
        <v>0</v>
      </c>
    </row>
    <row r="77" spans="1:21" x14ac:dyDescent="0.25">
      <c r="A77" s="6" t="str">
        <f>LEFT(A74,12)&amp;"_PB_"&amp;RIGHT(A74,2)&amp;"_SR"</f>
        <v>BXX_GDS1_GI1_PB_AR_SR</v>
      </c>
      <c r="B77" s="6" t="str">
        <f t="shared" si="6"/>
        <v>BXX</v>
      </c>
      <c r="C77" s="6" t="str">
        <f>$C74&amp;" Super En"</f>
        <v>Station BXX Gas Detector Failure Super En</v>
      </c>
      <c r="D77" s="4">
        <f t="shared" si="4"/>
        <v>41</v>
      </c>
      <c r="E77" s="262" t="s">
        <v>1</v>
      </c>
      <c r="F77" s="262" t="s">
        <v>0</v>
      </c>
      <c r="G77" s="262">
        <v>600</v>
      </c>
      <c r="H77" s="262" t="s">
        <v>0</v>
      </c>
      <c r="I77" s="262" t="s">
        <v>40</v>
      </c>
      <c r="J77" s="262" t="s">
        <v>52</v>
      </c>
      <c r="K77" s="262" t="s">
        <v>53</v>
      </c>
      <c r="L77" s="262" t="s">
        <v>41</v>
      </c>
      <c r="M77" s="220">
        <v>1</v>
      </c>
      <c r="N77" s="262" t="s">
        <v>49</v>
      </c>
      <c r="O77" s="6" t="str">
        <f>$O$6</f>
        <v>BXX</v>
      </c>
      <c r="P77" s="262" t="s">
        <v>1</v>
      </c>
      <c r="Q77" s="6" t="str">
        <f>A74&amp;".SR"</f>
        <v>BXX_GDS1_GI1_DA_AR.SR</v>
      </c>
      <c r="R77" s="262" t="s">
        <v>1</v>
      </c>
      <c r="S77" s="6" t="str">
        <f t="shared" si="5"/>
        <v>Station BXX Gas Detector Failure Super En</v>
      </c>
      <c r="T77" s="262">
        <v>0</v>
      </c>
      <c r="U77" s="262">
        <v>0</v>
      </c>
    </row>
    <row r="78" spans="1:21" x14ac:dyDescent="0.25">
      <c r="A78" s="6" t="str">
        <f>$A$3&amp;"_GDS1_GI1_DA_AG"</f>
        <v>BXX_GDS1_GI1_DA_AG</v>
      </c>
      <c r="B78" s="6" t="str">
        <f t="shared" si="6"/>
        <v>BXX</v>
      </c>
      <c r="C78" s="6" t="str">
        <f>$C$3&amp;" Gas Detector Alarm"</f>
        <v>Station BXX Gas Detector Alarm</v>
      </c>
      <c r="D78" s="4">
        <f t="shared" si="4"/>
        <v>30</v>
      </c>
      <c r="E78" s="262" t="s">
        <v>1</v>
      </c>
      <c r="F78" s="262" t="s">
        <v>1</v>
      </c>
      <c r="G78" s="262">
        <v>0</v>
      </c>
      <c r="H78" s="262" t="s">
        <v>0</v>
      </c>
      <c r="I78" s="262" t="s">
        <v>40</v>
      </c>
      <c r="J78" s="262" t="s">
        <v>50</v>
      </c>
      <c r="K78" s="262" t="s">
        <v>51</v>
      </c>
      <c r="L78" s="262" t="s">
        <v>42</v>
      </c>
      <c r="M78" s="220">
        <v>10</v>
      </c>
      <c r="N78" s="262" t="s">
        <v>49</v>
      </c>
      <c r="O78" s="6" t="str">
        <f>[1]BXXPLC1!$C$3</f>
        <v>BXX</v>
      </c>
      <c r="P78" s="262" t="s">
        <v>1</v>
      </c>
      <c r="Q78" s="6" t="str">
        <f>A78&amp;".eng"</f>
        <v>BXX_GDS1_GI1_DA_AG.eng</v>
      </c>
      <c r="R78" s="262" t="s">
        <v>1</v>
      </c>
      <c r="S78" s="6" t="str">
        <f t="shared" si="5"/>
        <v>Station BXX Gas Detector Alarm</v>
      </c>
      <c r="T78" s="262">
        <v>0</v>
      </c>
      <c r="U78" s="262">
        <v>0</v>
      </c>
    </row>
    <row r="79" spans="1:21" x14ac:dyDescent="0.25">
      <c r="A79" s="6" t="str">
        <f>LEFT(A78,12)&amp;"_PB_"&amp;RIGHT(A78,2)&amp;"_RE"</f>
        <v>BXX_GDS1_GI1_PB_AG_RE</v>
      </c>
      <c r="B79" s="6" t="str">
        <f t="shared" si="6"/>
        <v>BXX</v>
      </c>
      <c r="C79" s="6" t="str">
        <f>C78 &amp;" Enable"</f>
        <v>Station BXX Gas Detector Alarm Enable</v>
      </c>
      <c r="D79" s="4">
        <f t="shared" si="4"/>
        <v>37</v>
      </c>
      <c r="E79" s="262" t="s">
        <v>1</v>
      </c>
      <c r="F79" s="262" t="s">
        <v>0</v>
      </c>
      <c r="G79" s="262">
        <v>600</v>
      </c>
      <c r="H79" s="262" t="s">
        <v>0</v>
      </c>
      <c r="I79" s="262" t="s">
        <v>40</v>
      </c>
      <c r="J79" s="262" t="s">
        <v>52</v>
      </c>
      <c r="K79" s="262" t="s">
        <v>53</v>
      </c>
      <c r="L79" s="262" t="s">
        <v>41</v>
      </c>
      <c r="M79" s="220">
        <v>1</v>
      </c>
      <c r="N79" s="262" t="s">
        <v>49</v>
      </c>
      <c r="O79" s="6" t="str">
        <f>$O$6</f>
        <v>BXX</v>
      </c>
      <c r="P79" s="262" t="s">
        <v>1</v>
      </c>
      <c r="Q79" s="6" t="str">
        <f>A78&amp;".RE"</f>
        <v>BXX_GDS1_GI1_DA_AG.RE</v>
      </c>
      <c r="R79" s="262" t="s">
        <v>1</v>
      </c>
      <c r="S79" s="6" t="str">
        <f t="shared" si="5"/>
        <v>Station BXX Gas Detector Alarm Enable</v>
      </c>
      <c r="T79" s="262">
        <v>0</v>
      </c>
      <c r="U79" s="262">
        <v>0</v>
      </c>
    </row>
    <row r="80" spans="1:21" x14ac:dyDescent="0.25">
      <c r="A80" s="6" t="str">
        <f>LEFT(A78,12)&amp;"_PB_"&amp;RIGHT(A78,2)&amp;"_DE"</f>
        <v>BXX_GDS1_GI1_PB_AG_DE</v>
      </c>
      <c r="B80" s="6" t="str">
        <f t="shared" si="6"/>
        <v>BXX</v>
      </c>
      <c r="C80" s="6" t="str">
        <f>$C78&amp;" Dialer En"</f>
        <v>Station BXX Gas Detector Alarm Dialer En</v>
      </c>
      <c r="D80" s="4">
        <f t="shared" si="4"/>
        <v>40</v>
      </c>
      <c r="E80" s="262" t="s">
        <v>1</v>
      </c>
      <c r="F80" s="262" t="s">
        <v>0</v>
      </c>
      <c r="G80" s="262">
        <v>600</v>
      </c>
      <c r="H80" s="262" t="s">
        <v>0</v>
      </c>
      <c r="I80" s="262" t="s">
        <v>40</v>
      </c>
      <c r="J80" s="262" t="s">
        <v>52</v>
      </c>
      <c r="K80" s="262" t="s">
        <v>53</v>
      </c>
      <c r="L80" s="262" t="s">
        <v>41</v>
      </c>
      <c r="M80" s="220">
        <v>1</v>
      </c>
      <c r="N80" s="262" t="s">
        <v>49</v>
      </c>
      <c r="O80" s="6" t="str">
        <f>$O$6</f>
        <v>BXX</v>
      </c>
      <c r="P80" s="262" t="s">
        <v>1</v>
      </c>
      <c r="Q80" s="6" t="str">
        <f>A78&amp;".DE"</f>
        <v>BXX_GDS1_GI1_DA_AG.DE</v>
      </c>
      <c r="R80" s="262" t="s">
        <v>1</v>
      </c>
      <c r="S80" s="6" t="str">
        <f t="shared" si="5"/>
        <v>Station BXX Gas Detector Alarm Dialer En</v>
      </c>
      <c r="T80" s="262">
        <v>0</v>
      </c>
      <c r="U80" s="262">
        <v>0</v>
      </c>
    </row>
    <row r="81" spans="1:21" x14ac:dyDescent="0.25">
      <c r="A81" s="6" t="str">
        <f>LEFT(A78,12)&amp;"_PB_"&amp;RIGHT(A78,2)&amp;"_SR"</f>
        <v>BXX_GDS1_GI1_PB_AG_SR</v>
      </c>
      <c r="B81" s="6" t="str">
        <f t="shared" si="6"/>
        <v>BXX</v>
      </c>
      <c r="C81" s="6" t="str">
        <f>$C78&amp;" Super En"</f>
        <v>Station BXX Gas Detector Alarm Super En</v>
      </c>
      <c r="D81" s="4">
        <f t="shared" si="4"/>
        <v>39</v>
      </c>
      <c r="E81" s="262" t="s">
        <v>1</v>
      </c>
      <c r="F81" s="262" t="s">
        <v>0</v>
      </c>
      <c r="G81" s="262">
        <v>600</v>
      </c>
      <c r="H81" s="262" t="s">
        <v>0</v>
      </c>
      <c r="I81" s="262" t="s">
        <v>40</v>
      </c>
      <c r="J81" s="262" t="s">
        <v>52</v>
      </c>
      <c r="K81" s="262" t="s">
        <v>53</v>
      </c>
      <c r="L81" s="262" t="s">
        <v>41</v>
      </c>
      <c r="M81" s="220">
        <v>1</v>
      </c>
      <c r="N81" s="262" t="s">
        <v>49</v>
      </c>
      <c r="O81" s="6" t="str">
        <f>$O$6</f>
        <v>BXX</v>
      </c>
      <c r="P81" s="262" t="s">
        <v>1</v>
      </c>
      <c r="Q81" s="6" t="str">
        <f>A78&amp;".SR"</f>
        <v>BXX_GDS1_GI1_DA_AG.SR</v>
      </c>
      <c r="R81" s="262" t="s">
        <v>1</v>
      </c>
      <c r="S81" s="6" t="str">
        <f t="shared" si="5"/>
        <v>Station BXX Gas Detector Alarm Super En</v>
      </c>
      <c r="T81" s="262">
        <v>0</v>
      </c>
      <c r="U81" s="262">
        <v>0</v>
      </c>
    </row>
    <row r="82" spans="1:21" x14ac:dyDescent="0.25">
      <c r="A82" s="6" t="str">
        <f>$A$3&amp;"_GDS1_GI1_DA_AW"</f>
        <v>BXX_GDS1_GI1_DA_AW</v>
      </c>
      <c r="B82" s="6" t="str">
        <f t="shared" si="6"/>
        <v>BXX</v>
      </c>
      <c r="C82" s="6" t="str">
        <f>$C$3&amp;" Gas Detector Warning"</f>
        <v>Station BXX Gas Detector Warning</v>
      </c>
      <c r="D82" s="4">
        <f t="shared" si="4"/>
        <v>32</v>
      </c>
      <c r="E82" s="262" t="s">
        <v>1</v>
      </c>
      <c r="F82" s="262" t="s">
        <v>1</v>
      </c>
      <c r="G82" s="262">
        <v>0</v>
      </c>
      <c r="H82" s="262" t="s">
        <v>0</v>
      </c>
      <c r="I82" s="262" t="s">
        <v>40</v>
      </c>
      <c r="J82" s="262" t="s">
        <v>50</v>
      </c>
      <c r="K82" s="262" t="s">
        <v>51</v>
      </c>
      <c r="L82" s="262" t="s">
        <v>42</v>
      </c>
      <c r="M82" s="220">
        <v>310</v>
      </c>
      <c r="N82" s="262" t="s">
        <v>49</v>
      </c>
      <c r="O82" s="6" t="str">
        <f>[1]BXXPLC1!$C$3</f>
        <v>BXX</v>
      </c>
      <c r="P82" s="262" t="s">
        <v>1</v>
      </c>
      <c r="Q82" s="6" t="str">
        <f>A82&amp;".eng"</f>
        <v>BXX_GDS1_GI1_DA_AW.eng</v>
      </c>
      <c r="R82" s="262" t="s">
        <v>1</v>
      </c>
      <c r="S82" s="6" t="str">
        <f t="shared" si="5"/>
        <v>Station BXX Gas Detector Warning</v>
      </c>
      <c r="T82" s="262">
        <v>0</v>
      </c>
      <c r="U82" s="262">
        <v>0</v>
      </c>
    </row>
    <row r="83" spans="1:21" x14ac:dyDescent="0.25">
      <c r="A83" s="6" t="str">
        <f>LEFT(A82,12)&amp;"_PB_"&amp;RIGHT(A82,2)&amp;"_RE"</f>
        <v>BXX_GDS1_GI1_PB_AW_RE</v>
      </c>
      <c r="B83" s="6" t="str">
        <f t="shared" si="6"/>
        <v>BXX</v>
      </c>
      <c r="C83" s="6" t="str">
        <f>C82 &amp;" Enable"</f>
        <v>Station BXX Gas Detector Warning Enable</v>
      </c>
      <c r="D83" s="4">
        <f t="shared" si="4"/>
        <v>39</v>
      </c>
      <c r="E83" s="262" t="s">
        <v>1</v>
      </c>
      <c r="F83" s="262" t="s">
        <v>0</v>
      </c>
      <c r="G83" s="262">
        <v>600</v>
      </c>
      <c r="H83" s="262" t="s">
        <v>0</v>
      </c>
      <c r="I83" s="262" t="s">
        <v>40</v>
      </c>
      <c r="J83" s="262" t="s">
        <v>52</v>
      </c>
      <c r="K83" s="262" t="s">
        <v>53</v>
      </c>
      <c r="L83" s="262" t="s">
        <v>41</v>
      </c>
      <c r="M83" s="220">
        <v>1</v>
      </c>
      <c r="N83" s="262" t="s">
        <v>49</v>
      </c>
      <c r="O83" s="6" t="str">
        <f>$O$6</f>
        <v>BXX</v>
      </c>
      <c r="P83" s="262" t="s">
        <v>1</v>
      </c>
      <c r="Q83" s="6" t="str">
        <f>A82&amp;".RE"</f>
        <v>BXX_GDS1_GI1_DA_AW.RE</v>
      </c>
      <c r="R83" s="262" t="s">
        <v>1</v>
      </c>
      <c r="S83" s="6" t="str">
        <f t="shared" si="5"/>
        <v>Station BXX Gas Detector Warning Enable</v>
      </c>
      <c r="T83" s="262">
        <v>0</v>
      </c>
      <c r="U83" s="262">
        <v>0</v>
      </c>
    </row>
    <row r="84" spans="1:21" x14ac:dyDescent="0.25">
      <c r="A84" s="6" t="str">
        <f>LEFT(A82,12)&amp;"_PB_"&amp;RIGHT(A82,2)&amp;"_DE"</f>
        <v>BXX_GDS1_GI1_PB_AW_DE</v>
      </c>
      <c r="B84" s="6" t="str">
        <f t="shared" si="6"/>
        <v>BXX</v>
      </c>
      <c r="C84" s="6" t="str">
        <f>$C82&amp;" Dialer En"</f>
        <v>Station BXX Gas Detector Warning Dialer En</v>
      </c>
      <c r="D84" s="4">
        <f t="shared" si="4"/>
        <v>42</v>
      </c>
      <c r="E84" s="262" t="s">
        <v>1</v>
      </c>
      <c r="F84" s="262" t="s">
        <v>0</v>
      </c>
      <c r="G84" s="262">
        <v>600</v>
      </c>
      <c r="H84" s="262" t="s">
        <v>0</v>
      </c>
      <c r="I84" s="262" t="s">
        <v>40</v>
      </c>
      <c r="J84" s="262" t="s">
        <v>52</v>
      </c>
      <c r="K84" s="262" t="s">
        <v>53</v>
      </c>
      <c r="L84" s="262" t="s">
        <v>41</v>
      </c>
      <c r="M84" s="220">
        <v>1</v>
      </c>
      <c r="N84" s="262" t="s">
        <v>49</v>
      </c>
      <c r="O84" s="6" t="str">
        <f>$O$6</f>
        <v>BXX</v>
      </c>
      <c r="P84" s="262" t="s">
        <v>1</v>
      </c>
      <c r="Q84" s="6" t="str">
        <f>A82&amp;".DE"</f>
        <v>BXX_GDS1_GI1_DA_AW.DE</v>
      </c>
      <c r="R84" s="262" t="s">
        <v>1</v>
      </c>
      <c r="S84" s="6" t="str">
        <f t="shared" si="5"/>
        <v>Station BXX Gas Detector Warning Dialer En</v>
      </c>
      <c r="T84" s="262">
        <v>0</v>
      </c>
      <c r="U84" s="262">
        <v>0</v>
      </c>
    </row>
    <row r="85" spans="1:21" x14ac:dyDescent="0.25">
      <c r="A85" s="6" t="str">
        <f>LEFT(A82,12)&amp;"_PB_"&amp;RIGHT(A82,2)&amp;"_SR"</f>
        <v>BXX_GDS1_GI1_PB_AW_SR</v>
      </c>
      <c r="B85" s="6" t="str">
        <f t="shared" si="6"/>
        <v>BXX</v>
      </c>
      <c r="C85" s="6" t="str">
        <f>$C82&amp;" Super En"</f>
        <v>Station BXX Gas Detector Warning Super En</v>
      </c>
      <c r="D85" s="4">
        <f t="shared" si="4"/>
        <v>41</v>
      </c>
      <c r="E85" s="262" t="s">
        <v>1</v>
      </c>
      <c r="F85" s="262" t="s">
        <v>0</v>
      </c>
      <c r="G85" s="262">
        <v>600</v>
      </c>
      <c r="H85" s="262" t="s">
        <v>0</v>
      </c>
      <c r="I85" s="262" t="s">
        <v>40</v>
      </c>
      <c r="J85" s="262" t="s">
        <v>52</v>
      </c>
      <c r="K85" s="262" t="s">
        <v>53</v>
      </c>
      <c r="L85" s="262" t="s">
        <v>41</v>
      </c>
      <c r="M85" s="220">
        <v>1</v>
      </c>
      <c r="N85" s="262" t="s">
        <v>49</v>
      </c>
      <c r="O85" s="6" t="str">
        <f>$O$6</f>
        <v>BXX</v>
      </c>
      <c r="P85" s="262" t="s">
        <v>1</v>
      </c>
      <c r="Q85" s="6" t="str">
        <f>A82&amp;".SR"</f>
        <v>BXX_GDS1_GI1_DA_AW.SR</v>
      </c>
      <c r="R85" s="262" t="s">
        <v>1</v>
      </c>
      <c r="S85" s="6" t="str">
        <f t="shared" si="5"/>
        <v>Station BXX Gas Detector Warning Super En</v>
      </c>
      <c r="T85" s="262">
        <v>0</v>
      </c>
      <c r="U85" s="262">
        <v>0</v>
      </c>
    </row>
    <row r="86" spans="1:21" x14ac:dyDescent="0.25">
      <c r="A86" s="6" t="str">
        <f>$A$3&amp;"_PSU1_001_DA_GA"</f>
        <v>BXX_PSU1_001_DA_GA</v>
      </c>
      <c r="B86" s="6" t="str">
        <f t="shared" si="6"/>
        <v>BXX</v>
      </c>
      <c r="C86" s="6" t="str">
        <f>$C$3&amp;" Main 24VDC Power Fault"</f>
        <v>Station BXX Main 24VDC Power Fault</v>
      </c>
      <c r="D86" s="4">
        <f t="shared" si="4"/>
        <v>34</v>
      </c>
      <c r="E86" s="262" t="s">
        <v>1</v>
      </c>
      <c r="F86" s="262" t="s">
        <v>1</v>
      </c>
      <c r="G86" s="262">
        <v>0</v>
      </c>
      <c r="H86" s="262" t="s">
        <v>0</v>
      </c>
      <c r="I86" s="262" t="s">
        <v>40</v>
      </c>
      <c r="J86" s="262" t="s">
        <v>50</v>
      </c>
      <c r="K86" s="262" t="s">
        <v>51</v>
      </c>
      <c r="L86" s="262" t="s">
        <v>42</v>
      </c>
      <c r="M86" s="220">
        <v>48</v>
      </c>
      <c r="N86" s="262" t="s">
        <v>49</v>
      </c>
      <c r="O86" s="6" t="str">
        <f>[1]BXXPLC1!$C$3</f>
        <v>BXX</v>
      </c>
      <c r="P86" s="262" t="s">
        <v>1</v>
      </c>
      <c r="Q86" s="6" t="str">
        <f>A86&amp;".eng"</f>
        <v>BXX_PSU1_001_DA_GA.eng</v>
      </c>
      <c r="R86" s="262" t="s">
        <v>1</v>
      </c>
      <c r="S86" s="6" t="str">
        <f t="shared" si="5"/>
        <v>Station BXX Main 24VDC Power Fault</v>
      </c>
      <c r="T86" s="262">
        <v>0</v>
      </c>
      <c r="U86" s="262">
        <v>0</v>
      </c>
    </row>
    <row r="87" spans="1:21" x14ac:dyDescent="0.25">
      <c r="A87" s="6" t="str">
        <f>LEFT(A86,12)&amp;"_PB_"&amp;RIGHT(A86,2)&amp;"_RE"</f>
        <v>BXX_PSU1_001_PB_GA_RE</v>
      </c>
      <c r="B87" s="6" t="str">
        <f t="shared" si="6"/>
        <v>BXX</v>
      </c>
      <c r="C87" s="6" t="str">
        <f>C86 &amp;" Enable"</f>
        <v>Station BXX Main 24VDC Power Fault Enable</v>
      </c>
      <c r="D87" s="4">
        <f t="shared" si="4"/>
        <v>41</v>
      </c>
      <c r="E87" s="262" t="s">
        <v>1</v>
      </c>
      <c r="F87" s="262" t="s">
        <v>0</v>
      </c>
      <c r="G87" s="262">
        <v>600</v>
      </c>
      <c r="H87" s="262" t="s">
        <v>0</v>
      </c>
      <c r="I87" s="262" t="s">
        <v>40</v>
      </c>
      <c r="J87" s="262" t="s">
        <v>52</v>
      </c>
      <c r="K87" s="262" t="s">
        <v>53</v>
      </c>
      <c r="L87" s="262" t="s">
        <v>41</v>
      </c>
      <c r="M87" s="220">
        <v>1</v>
      </c>
      <c r="N87" s="262" t="s">
        <v>49</v>
      </c>
      <c r="O87" s="6" t="str">
        <f>$O$6</f>
        <v>BXX</v>
      </c>
      <c r="P87" s="262" t="s">
        <v>1</v>
      </c>
      <c r="Q87" s="6" t="str">
        <f>A86&amp;".RE"</f>
        <v>BXX_PSU1_001_DA_GA.RE</v>
      </c>
      <c r="R87" s="262" t="s">
        <v>1</v>
      </c>
      <c r="S87" s="6" t="str">
        <f t="shared" si="5"/>
        <v>Station BXX Main 24VDC Power Fault Enable</v>
      </c>
      <c r="T87" s="262">
        <v>0</v>
      </c>
      <c r="U87" s="262">
        <v>0</v>
      </c>
    </row>
    <row r="88" spans="1:21" x14ac:dyDescent="0.25">
      <c r="A88" s="6" t="str">
        <f>LEFT(A86,12)&amp;"_PB_"&amp;RIGHT(A86,2)&amp;"_DE"</f>
        <v>BXX_PSU1_001_PB_GA_DE</v>
      </c>
      <c r="B88" s="6" t="str">
        <f t="shared" si="6"/>
        <v>BXX</v>
      </c>
      <c r="C88" s="6" t="str">
        <f>$C86&amp;" Dialer En"</f>
        <v>Station BXX Main 24VDC Power Fault Dialer En</v>
      </c>
      <c r="D88" s="4">
        <f t="shared" si="4"/>
        <v>44</v>
      </c>
      <c r="E88" s="262" t="s">
        <v>1</v>
      </c>
      <c r="F88" s="262" t="s">
        <v>0</v>
      </c>
      <c r="G88" s="262">
        <v>600</v>
      </c>
      <c r="H88" s="262" t="s">
        <v>0</v>
      </c>
      <c r="I88" s="262" t="s">
        <v>40</v>
      </c>
      <c r="J88" s="262" t="s">
        <v>52</v>
      </c>
      <c r="K88" s="262" t="s">
        <v>53</v>
      </c>
      <c r="L88" s="262" t="s">
        <v>41</v>
      </c>
      <c r="M88" s="220">
        <v>1</v>
      </c>
      <c r="N88" s="262" t="s">
        <v>49</v>
      </c>
      <c r="O88" s="6" t="str">
        <f>$O$6</f>
        <v>BXX</v>
      </c>
      <c r="P88" s="262" t="s">
        <v>1</v>
      </c>
      <c r="Q88" s="6" t="str">
        <f>A86&amp;".DE"</f>
        <v>BXX_PSU1_001_DA_GA.DE</v>
      </c>
      <c r="R88" s="262" t="s">
        <v>1</v>
      </c>
      <c r="S88" s="6" t="str">
        <f t="shared" si="5"/>
        <v>Station BXX Main 24VDC Power Fault Dialer En</v>
      </c>
      <c r="T88" s="262">
        <v>0</v>
      </c>
      <c r="U88" s="262">
        <v>0</v>
      </c>
    </row>
    <row r="89" spans="1:21" x14ac:dyDescent="0.25">
      <c r="A89" s="6" t="str">
        <f>LEFT(A86,12)&amp;"_PB_"&amp;RIGHT(A86,2)&amp;"_SR"</f>
        <v>BXX_PSU1_001_PB_GA_SR</v>
      </c>
      <c r="B89" s="6" t="str">
        <f t="shared" si="6"/>
        <v>BXX</v>
      </c>
      <c r="C89" s="6" t="str">
        <f>$C86&amp;" Super En"</f>
        <v>Station BXX Main 24VDC Power Fault Super En</v>
      </c>
      <c r="D89" s="4">
        <f t="shared" si="4"/>
        <v>43</v>
      </c>
      <c r="E89" s="262" t="s">
        <v>1</v>
      </c>
      <c r="F89" s="262" t="s">
        <v>0</v>
      </c>
      <c r="G89" s="262">
        <v>600</v>
      </c>
      <c r="H89" s="262" t="s">
        <v>0</v>
      </c>
      <c r="I89" s="262" t="s">
        <v>40</v>
      </c>
      <c r="J89" s="262" t="s">
        <v>52</v>
      </c>
      <c r="K89" s="262" t="s">
        <v>53</v>
      </c>
      <c r="L89" s="262" t="s">
        <v>41</v>
      </c>
      <c r="M89" s="220">
        <v>1</v>
      </c>
      <c r="N89" s="262" t="s">
        <v>49</v>
      </c>
      <c r="O89" s="6" t="str">
        <f>$O$6</f>
        <v>BXX</v>
      </c>
      <c r="P89" s="262" t="s">
        <v>1</v>
      </c>
      <c r="Q89" s="6" t="str">
        <f>A86&amp;".SR"</f>
        <v>BXX_PSU1_001_DA_GA.SR</v>
      </c>
      <c r="R89" s="262" t="s">
        <v>1</v>
      </c>
      <c r="S89" s="6" t="str">
        <f t="shared" si="5"/>
        <v>Station BXX Main 24VDC Power Fault Super En</v>
      </c>
      <c r="T89" s="262">
        <v>0</v>
      </c>
      <c r="U89" s="262">
        <v>0</v>
      </c>
    </row>
    <row r="90" spans="1:21" x14ac:dyDescent="0.25">
      <c r="A90" s="6" t="str">
        <f>$A$3&amp;"_BLS1_CP1_DA_GA"</f>
        <v>BXX_BLS1_CP1_DA_GA</v>
      </c>
      <c r="B90" s="6" t="str">
        <f t="shared" si="6"/>
        <v>BXX</v>
      </c>
      <c r="C90" s="6" t="str">
        <f>$C$3&amp;" Backup 24VDC Power Fault"</f>
        <v>Station BXX Backup 24VDC Power Fault</v>
      </c>
      <c r="D90" s="4">
        <f t="shared" si="4"/>
        <v>36</v>
      </c>
      <c r="E90" s="262" t="s">
        <v>1</v>
      </c>
      <c r="F90" s="262" t="s">
        <v>1</v>
      </c>
      <c r="G90" s="262">
        <v>0</v>
      </c>
      <c r="H90" s="262" t="s">
        <v>0</v>
      </c>
      <c r="I90" s="262" t="s">
        <v>40</v>
      </c>
      <c r="J90" s="262" t="s">
        <v>50</v>
      </c>
      <c r="K90" s="262" t="s">
        <v>51</v>
      </c>
      <c r="L90" s="262" t="s">
        <v>42</v>
      </c>
      <c r="M90" s="220">
        <v>48</v>
      </c>
      <c r="N90" s="262" t="s">
        <v>49</v>
      </c>
      <c r="O90" s="6" t="str">
        <f>[1]BXXPLC1!$C$3</f>
        <v>BXX</v>
      </c>
      <c r="P90" s="262" t="s">
        <v>1</v>
      </c>
      <c r="Q90" s="6" t="str">
        <f>A90&amp;".eng"</f>
        <v>BXX_BLS1_CP1_DA_GA.eng</v>
      </c>
      <c r="R90" s="262" t="s">
        <v>1</v>
      </c>
      <c r="S90" s="6" t="str">
        <f t="shared" si="5"/>
        <v>Station BXX Backup 24VDC Power Fault</v>
      </c>
      <c r="T90" s="262">
        <v>0</v>
      </c>
      <c r="U90" s="262">
        <v>0</v>
      </c>
    </row>
    <row r="91" spans="1:21" x14ac:dyDescent="0.25">
      <c r="A91" s="6" t="str">
        <f>LEFT(A90,12)&amp;"_PB_"&amp;RIGHT(A90,2)&amp;"_RE"</f>
        <v>BXX_BLS1_CP1_PB_GA_RE</v>
      </c>
      <c r="B91" s="6" t="str">
        <f t="shared" si="6"/>
        <v>BXX</v>
      </c>
      <c r="C91" s="6" t="str">
        <f>C90 &amp;" Enable"</f>
        <v>Station BXX Backup 24VDC Power Fault Enable</v>
      </c>
      <c r="D91" s="4">
        <f t="shared" si="4"/>
        <v>43</v>
      </c>
      <c r="E91" s="262" t="s">
        <v>1</v>
      </c>
      <c r="F91" s="262" t="s">
        <v>0</v>
      </c>
      <c r="G91" s="262">
        <v>600</v>
      </c>
      <c r="H91" s="262" t="s">
        <v>0</v>
      </c>
      <c r="I91" s="262" t="s">
        <v>40</v>
      </c>
      <c r="J91" s="262" t="s">
        <v>52</v>
      </c>
      <c r="K91" s="262" t="s">
        <v>53</v>
      </c>
      <c r="L91" s="262" t="s">
        <v>41</v>
      </c>
      <c r="M91" s="220">
        <v>1</v>
      </c>
      <c r="N91" s="262" t="s">
        <v>49</v>
      </c>
      <c r="O91" s="6" t="str">
        <f>$O$6</f>
        <v>BXX</v>
      </c>
      <c r="P91" s="262" t="s">
        <v>1</v>
      </c>
      <c r="Q91" s="6" t="str">
        <f>A90&amp;".RE"</f>
        <v>BXX_BLS1_CP1_DA_GA.RE</v>
      </c>
      <c r="R91" s="262" t="s">
        <v>1</v>
      </c>
      <c r="S91" s="6" t="str">
        <f t="shared" si="5"/>
        <v>Station BXX Backup 24VDC Power Fault Enable</v>
      </c>
      <c r="T91" s="262">
        <v>0</v>
      </c>
      <c r="U91" s="262">
        <v>0</v>
      </c>
    </row>
    <row r="92" spans="1:21" x14ac:dyDescent="0.25">
      <c r="A92" s="6" t="str">
        <f>LEFT(A90,12)&amp;"_PB_"&amp;RIGHT(A90,2)&amp;"_DE"</f>
        <v>BXX_BLS1_CP1_PB_GA_DE</v>
      </c>
      <c r="B92" s="6" t="str">
        <f t="shared" si="6"/>
        <v>BXX</v>
      </c>
      <c r="C92" s="6" t="str">
        <f>$C90&amp;" Dialer En"</f>
        <v>Station BXX Backup 24VDC Power Fault Dialer En</v>
      </c>
      <c r="D92" s="4">
        <f t="shared" si="4"/>
        <v>46</v>
      </c>
      <c r="E92" s="262" t="s">
        <v>1</v>
      </c>
      <c r="F92" s="262" t="s">
        <v>0</v>
      </c>
      <c r="G92" s="262">
        <v>600</v>
      </c>
      <c r="H92" s="262" t="s">
        <v>0</v>
      </c>
      <c r="I92" s="262" t="s">
        <v>40</v>
      </c>
      <c r="J92" s="262" t="s">
        <v>52</v>
      </c>
      <c r="K92" s="262" t="s">
        <v>53</v>
      </c>
      <c r="L92" s="262" t="s">
        <v>41</v>
      </c>
      <c r="M92" s="220">
        <v>1</v>
      </c>
      <c r="N92" s="262" t="s">
        <v>49</v>
      </c>
      <c r="O92" s="6" t="str">
        <f>$O$6</f>
        <v>BXX</v>
      </c>
      <c r="P92" s="262" t="s">
        <v>1</v>
      </c>
      <c r="Q92" s="6" t="str">
        <f>A90&amp;".DE"</f>
        <v>BXX_BLS1_CP1_DA_GA.DE</v>
      </c>
      <c r="R92" s="262" t="s">
        <v>1</v>
      </c>
      <c r="S92" s="6" t="str">
        <f t="shared" si="5"/>
        <v>Station BXX Backup 24VDC Power Fault Dialer En</v>
      </c>
      <c r="T92" s="262">
        <v>0</v>
      </c>
      <c r="U92" s="262">
        <v>0</v>
      </c>
    </row>
    <row r="93" spans="1:21" x14ac:dyDescent="0.25">
      <c r="A93" s="6" t="str">
        <f>LEFT(A90,12)&amp;"_PB_"&amp;RIGHT(A90,2)&amp;"_SR"</f>
        <v>BXX_BLS1_CP1_PB_GA_SR</v>
      </c>
      <c r="B93" s="6" t="str">
        <f t="shared" si="6"/>
        <v>BXX</v>
      </c>
      <c r="C93" s="6" t="str">
        <f>$C90&amp;" Super En"</f>
        <v>Station BXX Backup 24VDC Power Fault Super En</v>
      </c>
      <c r="D93" s="4">
        <f t="shared" si="4"/>
        <v>45</v>
      </c>
      <c r="E93" s="262" t="s">
        <v>1</v>
      </c>
      <c r="F93" s="262" t="s">
        <v>0</v>
      </c>
      <c r="G93" s="262">
        <v>600</v>
      </c>
      <c r="H93" s="262" t="s">
        <v>0</v>
      </c>
      <c r="I93" s="262" t="s">
        <v>40</v>
      </c>
      <c r="J93" s="262" t="s">
        <v>52</v>
      </c>
      <c r="K93" s="262" t="s">
        <v>53</v>
      </c>
      <c r="L93" s="262" t="s">
        <v>41</v>
      </c>
      <c r="M93" s="220">
        <v>1</v>
      </c>
      <c r="N93" s="262" t="s">
        <v>49</v>
      </c>
      <c r="O93" s="6" t="str">
        <f>$O$6</f>
        <v>BXX</v>
      </c>
      <c r="P93" s="262" t="s">
        <v>1</v>
      </c>
      <c r="Q93" s="6" t="str">
        <f>A90&amp;".SR"</f>
        <v>BXX_BLS1_CP1_DA_GA.SR</v>
      </c>
      <c r="R93" s="262" t="s">
        <v>1</v>
      </c>
      <c r="S93" s="6" t="str">
        <f t="shared" si="5"/>
        <v>Station BXX Backup 24VDC Power Fault Super En</v>
      </c>
      <c r="T93" s="262">
        <v>0</v>
      </c>
      <c r="U93" s="262">
        <v>0</v>
      </c>
    </row>
    <row r="94" spans="1:21" x14ac:dyDescent="0.25">
      <c r="A94" s="6" t="str">
        <f>$A$3&amp;"_STN1_EY1_DA_SS"</f>
        <v>BXX_STN1_EY1_DA_SS</v>
      </c>
      <c r="B94" s="6" t="str">
        <f t="shared" si="6"/>
        <v>BXX</v>
      </c>
      <c r="C94" s="6" t="str">
        <f>$C$3&amp;" Eyewash Station Active"</f>
        <v>Station BXX Eyewash Station Active</v>
      </c>
      <c r="D94" s="4">
        <f t="shared" si="4"/>
        <v>34</v>
      </c>
      <c r="E94" s="262" t="s">
        <v>1</v>
      </c>
      <c r="F94" s="262" t="s">
        <v>1</v>
      </c>
      <c r="G94" s="262">
        <v>0</v>
      </c>
      <c r="H94" s="262" t="s">
        <v>0</v>
      </c>
      <c r="I94" s="262" t="s">
        <v>40</v>
      </c>
      <c r="J94" s="262" t="s">
        <v>50</v>
      </c>
      <c r="K94" s="262" t="s">
        <v>51</v>
      </c>
      <c r="L94" s="262" t="s">
        <v>42</v>
      </c>
      <c r="M94" s="220">
        <v>9</v>
      </c>
      <c r="N94" s="262" t="s">
        <v>49</v>
      </c>
      <c r="O94" s="6" t="str">
        <f>[1]BXXPLC1!$C$3</f>
        <v>BXX</v>
      </c>
      <c r="P94" s="262" t="s">
        <v>1</v>
      </c>
      <c r="Q94" s="6" t="str">
        <f>A94&amp;".eng"</f>
        <v>BXX_STN1_EY1_DA_SS.eng</v>
      </c>
      <c r="R94" s="262" t="s">
        <v>1</v>
      </c>
      <c r="S94" s="6" t="str">
        <f t="shared" si="5"/>
        <v>Station BXX Eyewash Station Active</v>
      </c>
      <c r="T94" s="262">
        <v>0</v>
      </c>
      <c r="U94" s="262">
        <v>0</v>
      </c>
    </row>
    <row r="95" spans="1:21" x14ac:dyDescent="0.25">
      <c r="A95" s="6" t="str">
        <f>LEFT(A94,12)&amp;"_PB_"&amp;RIGHT(A94,2)&amp;"_RE"</f>
        <v>BXX_STN1_EY1_PB_SS_RE</v>
      </c>
      <c r="B95" s="6" t="str">
        <f t="shared" si="6"/>
        <v>BXX</v>
      </c>
      <c r="C95" s="6" t="str">
        <f>C94 &amp;" Enable"</f>
        <v>Station BXX Eyewash Station Active Enable</v>
      </c>
      <c r="D95" s="4">
        <f t="shared" si="4"/>
        <v>41</v>
      </c>
      <c r="E95" s="262" t="s">
        <v>1</v>
      </c>
      <c r="F95" s="262" t="s">
        <v>0</v>
      </c>
      <c r="G95" s="262">
        <v>600</v>
      </c>
      <c r="H95" s="262" t="s">
        <v>0</v>
      </c>
      <c r="I95" s="262" t="s">
        <v>40</v>
      </c>
      <c r="J95" s="262" t="s">
        <v>52</v>
      </c>
      <c r="K95" s="262" t="s">
        <v>53</v>
      </c>
      <c r="L95" s="262" t="s">
        <v>41</v>
      </c>
      <c r="M95" s="220">
        <v>1</v>
      </c>
      <c r="N95" s="262" t="s">
        <v>49</v>
      </c>
      <c r="O95" s="6" t="str">
        <f>$O$6</f>
        <v>BXX</v>
      </c>
      <c r="P95" s="262" t="s">
        <v>1</v>
      </c>
      <c r="Q95" s="6" t="str">
        <f>A94&amp;".RE"</f>
        <v>BXX_STN1_EY1_DA_SS.RE</v>
      </c>
      <c r="R95" s="262" t="s">
        <v>1</v>
      </c>
      <c r="S95" s="6" t="str">
        <f t="shared" si="5"/>
        <v>Station BXX Eyewash Station Active Enable</v>
      </c>
      <c r="T95" s="262">
        <v>0</v>
      </c>
      <c r="U95" s="262">
        <v>0</v>
      </c>
    </row>
    <row r="96" spans="1:21" x14ac:dyDescent="0.25">
      <c r="A96" s="6" t="str">
        <f>LEFT(A94,12)&amp;"_PB_"&amp;RIGHT(A94,2)&amp;"_DE"</f>
        <v>BXX_STN1_EY1_PB_SS_DE</v>
      </c>
      <c r="B96" s="6" t="str">
        <f t="shared" si="6"/>
        <v>BXX</v>
      </c>
      <c r="C96" s="6" t="str">
        <f>$C94&amp;" Dialer En"</f>
        <v>Station BXX Eyewash Station Active Dialer En</v>
      </c>
      <c r="D96" s="4">
        <f t="shared" si="4"/>
        <v>44</v>
      </c>
      <c r="E96" s="262" t="s">
        <v>1</v>
      </c>
      <c r="F96" s="262" t="s">
        <v>0</v>
      </c>
      <c r="G96" s="262">
        <v>600</v>
      </c>
      <c r="H96" s="262" t="s">
        <v>0</v>
      </c>
      <c r="I96" s="262" t="s">
        <v>40</v>
      </c>
      <c r="J96" s="262" t="s">
        <v>52</v>
      </c>
      <c r="K96" s="262" t="s">
        <v>53</v>
      </c>
      <c r="L96" s="262" t="s">
        <v>41</v>
      </c>
      <c r="M96" s="220">
        <v>1</v>
      </c>
      <c r="N96" s="262" t="s">
        <v>49</v>
      </c>
      <c r="O96" s="6" t="str">
        <f>$O$6</f>
        <v>BXX</v>
      </c>
      <c r="P96" s="262" t="s">
        <v>1</v>
      </c>
      <c r="Q96" s="6" t="str">
        <f>A94&amp;".DE"</f>
        <v>BXX_STN1_EY1_DA_SS.DE</v>
      </c>
      <c r="R96" s="262" t="s">
        <v>1</v>
      </c>
      <c r="S96" s="6" t="str">
        <f t="shared" si="5"/>
        <v>Station BXX Eyewash Station Active Dialer En</v>
      </c>
      <c r="T96" s="262">
        <v>0</v>
      </c>
      <c r="U96" s="262">
        <v>0</v>
      </c>
    </row>
    <row r="97" spans="1:21" x14ac:dyDescent="0.25">
      <c r="A97" s="6" t="str">
        <f>LEFT(A94,12)&amp;"_PB_"&amp;RIGHT(A94,2)&amp;"_SR"</f>
        <v>BXX_STN1_EY1_PB_SS_SR</v>
      </c>
      <c r="B97" s="6" t="str">
        <f t="shared" si="6"/>
        <v>BXX</v>
      </c>
      <c r="C97" s="6" t="str">
        <f>$C94&amp;" Super En"</f>
        <v>Station BXX Eyewash Station Active Super En</v>
      </c>
      <c r="D97" s="4">
        <f t="shared" si="4"/>
        <v>43</v>
      </c>
      <c r="E97" s="262" t="s">
        <v>1</v>
      </c>
      <c r="F97" s="262" t="s">
        <v>0</v>
      </c>
      <c r="G97" s="262">
        <v>600</v>
      </c>
      <c r="H97" s="262" t="s">
        <v>0</v>
      </c>
      <c r="I97" s="262" t="s">
        <v>40</v>
      </c>
      <c r="J97" s="262" t="s">
        <v>52</v>
      </c>
      <c r="K97" s="262" t="s">
        <v>53</v>
      </c>
      <c r="L97" s="262" t="s">
        <v>41</v>
      </c>
      <c r="M97" s="220">
        <v>1</v>
      </c>
      <c r="N97" s="262" t="s">
        <v>49</v>
      </c>
      <c r="O97" s="6" t="str">
        <f>$O$6</f>
        <v>BXX</v>
      </c>
      <c r="P97" s="262" t="s">
        <v>1</v>
      </c>
      <c r="Q97" s="6" t="str">
        <f>A94&amp;".SR"</f>
        <v>BXX_STN1_EY1_DA_SS.SR</v>
      </c>
      <c r="R97" s="262" t="s">
        <v>1</v>
      </c>
      <c r="S97" s="6" t="str">
        <f t="shared" si="5"/>
        <v>Station BXX Eyewash Station Active Super En</v>
      </c>
      <c r="T97" s="262">
        <v>0</v>
      </c>
      <c r="U97" s="262">
        <v>0</v>
      </c>
    </row>
    <row r="98" spans="1:21" x14ac:dyDescent="0.25">
      <c r="A98" s="6" t="str">
        <f>$A$3&amp;"_GEN1_JI1_DA_CD"</f>
        <v>BXX_GEN1_JI1_DA_CD</v>
      </c>
      <c r="B98" s="6" t="str">
        <f t="shared" si="6"/>
        <v>BXX</v>
      </c>
      <c r="C98" s="6" t="str">
        <f>$C$3&amp;" Generator Breaker Not Closed"</f>
        <v>Station BXX Generator Breaker Not Closed</v>
      </c>
      <c r="D98" s="4">
        <f t="shared" si="4"/>
        <v>40</v>
      </c>
      <c r="E98" s="262" t="s">
        <v>1</v>
      </c>
      <c r="F98" s="262" t="s">
        <v>1</v>
      </c>
      <c r="G98" s="262">
        <v>0</v>
      </c>
      <c r="H98" s="262" t="s">
        <v>0</v>
      </c>
      <c r="I98" s="262" t="s">
        <v>40</v>
      </c>
      <c r="J98" s="262" t="s">
        <v>50</v>
      </c>
      <c r="K98" s="262" t="s">
        <v>51</v>
      </c>
      <c r="L98" s="262" t="s">
        <v>42</v>
      </c>
      <c r="M98" s="220">
        <v>20</v>
      </c>
      <c r="N98" s="262" t="s">
        <v>49</v>
      </c>
      <c r="O98" s="6" t="str">
        <f>[1]BXXPLC1!$C$3</f>
        <v>BXX</v>
      </c>
      <c r="P98" s="262" t="s">
        <v>1</v>
      </c>
      <c r="Q98" s="6" t="str">
        <f>A98&amp;".eng"</f>
        <v>BXX_GEN1_JI1_DA_CD.eng</v>
      </c>
      <c r="R98" s="262" t="s">
        <v>1</v>
      </c>
      <c r="S98" s="6" t="str">
        <f t="shared" si="5"/>
        <v>Station BXX Generator Breaker Not Closed</v>
      </c>
      <c r="T98" s="262">
        <v>0</v>
      </c>
      <c r="U98" s="262">
        <v>0</v>
      </c>
    </row>
    <row r="99" spans="1:21" x14ac:dyDescent="0.25">
      <c r="A99" s="6" t="str">
        <f>LEFT(A98,12)&amp;"_PB_"&amp;RIGHT(A98,2)&amp;"_RE"</f>
        <v>BXX_GEN1_JI1_PB_CD_RE</v>
      </c>
      <c r="B99" s="6" t="str">
        <f t="shared" si="6"/>
        <v>BXX</v>
      </c>
      <c r="C99" s="6" t="str">
        <f>C98 &amp;" Enable"</f>
        <v>Station BXX Generator Breaker Not Closed Enable</v>
      </c>
      <c r="D99" s="4">
        <f t="shared" si="4"/>
        <v>47</v>
      </c>
      <c r="E99" s="262" t="s">
        <v>1</v>
      </c>
      <c r="F99" s="262" t="s">
        <v>0</v>
      </c>
      <c r="G99" s="262">
        <v>600</v>
      </c>
      <c r="H99" s="262" t="s">
        <v>0</v>
      </c>
      <c r="I99" s="262" t="s">
        <v>40</v>
      </c>
      <c r="J99" s="262" t="s">
        <v>52</v>
      </c>
      <c r="K99" s="262" t="s">
        <v>53</v>
      </c>
      <c r="L99" s="262" t="s">
        <v>41</v>
      </c>
      <c r="M99" s="220">
        <v>1</v>
      </c>
      <c r="N99" s="262" t="s">
        <v>49</v>
      </c>
      <c r="O99" s="6" t="str">
        <f>$O$6</f>
        <v>BXX</v>
      </c>
      <c r="P99" s="262" t="s">
        <v>1</v>
      </c>
      <c r="Q99" s="6" t="str">
        <f>A98&amp;".RE"</f>
        <v>BXX_GEN1_JI1_DA_CD.RE</v>
      </c>
      <c r="R99" s="262" t="s">
        <v>1</v>
      </c>
      <c r="S99" s="6" t="str">
        <f t="shared" si="5"/>
        <v>Station BXX Generator Breaker Not Closed Enable</v>
      </c>
      <c r="T99" s="262">
        <v>0</v>
      </c>
      <c r="U99" s="262">
        <v>0</v>
      </c>
    </row>
    <row r="100" spans="1:21" x14ac:dyDescent="0.25">
      <c r="A100" s="6" t="str">
        <f>LEFT(A98,12)&amp;"_PB_"&amp;RIGHT(A98,2)&amp;"_DE"</f>
        <v>BXX_GEN1_JI1_PB_CD_DE</v>
      </c>
      <c r="B100" s="6" t="str">
        <f t="shared" si="6"/>
        <v>BXX</v>
      </c>
      <c r="C100" s="6" t="str">
        <f>$C98&amp;" Dialer En"</f>
        <v>Station BXX Generator Breaker Not Closed Dialer En</v>
      </c>
      <c r="D100" s="4">
        <f t="shared" si="4"/>
        <v>50</v>
      </c>
      <c r="E100" s="262" t="s">
        <v>1</v>
      </c>
      <c r="F100" s="262" t="s">
        <v>0</v>
      </c>
      <c r="G100" s="262">
        <v>600</v>
      </c>
      <c r="H100" s="262" t="s">
        <v>0</v>
      </c>
      <c r="I100" s="262" t="s">
        <v>40</v>
      </c>
      <c r="J100" s="262" t="s">
        <v>52</v>
      </c>
      <c r="K100" s="262" t="s">
        <v>53</v>
      </c>
      <c r="L100" s="262" t="s">
        <v>41</v>
      </c>
      <c r="M100" s="220">
        <v>1</v>
      </c>
      <c r="N100" s="262" t="s">
        <v>49</v>
      </c>
      <c r="O100" s="6" t="str">
        <f>$O$6</f>
        <v>BXX</v>
      </c>
      <c r="P100" s="262" t="s">
        <v>1</v>
      </c>
      <c r="Q100" s="6" t="str">
        <f>A98&amp;".DE"</f>
        <v>BXX_GEN1_JI1_DA_CD.DE</v>
      </c>
      <c r="R100" s="262" t="s">
        <v>1</v>
      </c>
      <c r="S100" s="6" t="str">
        <f t="shared" si="5"/>
        <v>Station BXX Generator Breaker Not Closed Dialer En</v>
      </c>
      <c r="T100" s="262">
        <v>0</v>
      </c>
      <c r="U100" s="262">
        <v>0</v>
      </c>
    </row>
    <row r="101" spans="1:21" x14ac:dyDescent="0.25">
      <c r="A101" s="6" t="str">
        <f>LEFT(A98,12)&amp;"_PB_"&amp;RIGHT(A98,2)&amp;"_SR"</f>
        <v>BXX_GEN1_JI1_PB_CD_SR</v>
      </c>
      <c r="B101" s="6" t="str">
        <f t="shared" si="6"/>
        <v>BXX</v>
      </c>
      <c r="C101" s="6" t="str">
        <f>$C98&amp;" Super En"</f>
        <v>Station BXX Generator Breaker Not Closed Super En</v>
      </c>
      <c r="D101" s="4">
        <f t="shared" si="4"/>
        <v>49</v>
      </c>
      <c r="E101" s="262" t="s">
        <v>1</v>
      </c>
      <c r="F101" s="262" t="s">
        <v>0</v>
      </c>
      <c r="G101" s="262">
        <v>600</v>
      </c>
      <c r="H101" s="262" t="s">
        <v>0</v>
      </c>
      <c r="I101" s="262" t="s">
        <v>40</v>
      </c>
      <c r="J101" s="262" t="s">
        <v>52</v>
      </c>
      <c r="K101" s="262" t="s">
        <v>53</v>
      </c>
      <c r="L101" s="262" t="s">
        <v>41</v>
      </c>
      <c r="M101" s="220">
        <v>1</v>
      </c>
      <c r="N101" s="262" t="s">
        <v>49</v>
      </c>
      <c r="O101" s="6" t="str">
        <f>$O$6</f>
        <v>BXX</v>
      </c>
      <c r="P101" s="262" t="s">
        <v>1</v>
      </c>
      <c r="Q101" s="6" t="str">
        <f>A98&amp;".SR"</f>
        <v>BXX_GEN1_JI1_DA_CD.SR</v>
      </c>
      <c r="R101" s="262" t="s">
        <v>1</v>
      </c>
      <c r="S101" s="6" t="str">
        <f t="shared" si="5"/>
        <v>Station BXX Generator Breaker Not Closed Super En</v>
      </c>
      <c r="T101" s="262">
        <v>0</v>
      </c>
      <c r="U101" s="262">
        <v>0</v>
      </c>
    </row>
    <row r="102" spans="1:21" x14ac:dyDescent="0.25">
      <c r="A102" s="262" t="s">
        <v>115</v>
      </c>
      <c r="B102" s="262" t="s">
        <v>4</v>
      </c>
      <c r="C102" s="262" t="s">
        <v>5</v>
      </c>
      <c r="D102" s="4">
        <f t="shared" si="4"/>
        <v>7</v>
      </c>
      <c r="E102" s="262" t="s">
        <v>30</v>
      </c>
      <c r="F102" s="262" t="s">
        <v>6</v>
      </c>
      <c r="G102" s="262" t="s">
        <v>7</v>
      </c>
      <c r="H102" s="262" t="s">
        <v>31</v>
      </c>
      <c r="I102" s="262" t="s">
        <v>113</v>
      </c>
      <c r="J102" s="262" t="s">
        <v>114</v>
      </c>
      <c r="K102" s="262" t="s">
        <v>45</v>
      </c>
      <c r="L102" s="262" t="s">
        <v>46</v>
      </c>
      <c r="M102" s="262" t="s">
        <v>47</v>
      </c>
      <c r="N102" s="262" t="s">
        <v>48</v>
      </c>
      <c r="O102" s="262" t="s">
        <v>37</v>
      </c>
      <c r="P102" s="262" t="s">
        <v>39</v>
      </c>
    </row>
    <row r="103" spans="1:21" x14ac:dyDescent="0.25">
      <c r="A103" s="6" t="str">
        <f>LEFT($A$6,12)&amp;"_PB_"&amp;RIGHT($A$6,2)&amp;"_RN"</f>
        <v>BXX_OVF1_FI1_PB_EL_RN</v>
      </c>
      <c r="B103" s="6" t="str">
        <f t="shared" ref="B103:B126" si="7">$A$3</f>
        <v>BXX</v>
      </c>
      <c r="C103" s="6" t="str">
        <f>$C$6 &amp;" Dis Reason"</f>
        <v>Station BXX Overflow Loss of Echo Dis Reason</v>
      </c>
      <c r="D103" s="4">
        <f t="shared" si="4"/>
        <v>44</v>
      </c>
      <c r="E103" s="262" t="s">
        <v>1</v>
      </c>
      <c r="F103" s="262" t="s">
        <v>1</v>
      </c>
      <c r="G103" s="262">
        <v>0</v>
      </c>
      <c r="H103" s="262" t="s">
        <v>0</v>
      </c>
      <c r="I103" s="262">
        <v>131</v>
      </c>
      <c r="J103" s="262" t="s">
        <v>123</v>
      </c>
      <c r="K103" s="220" t="s">
        <v>124</v>
      </c>
      <c r="L103" s="262" t="s">
        <v>0</v>
      </c>
      <c r="M103" s="6" t="str">
        <f t="shared" ref="M103:M126" si="8">A103</f>
        <v>BXX_OVF1_FI1_PB_EL_RN</v>
      </c>
      <c r="N103" s="262" t="s">
        <v>1</v>
      </c>
      <c r="O103" s="6" t="str">
        <f t="shared" ref="O103:O126" si="9">C103</f>
        <v>Station BXX Overflow Loss of Echo Dis Reason</v>
      </c>
      <c r="P103" s="220"/>
      <c r="Q103" s="220"/>
      <c r="R103" s="220"/>
      <c r="S103" s="220"/>
      <c r="T103" s="262">
        <v>0</v>
      </c>
      <c r="U103" s="262">
        <v>0</v>
      </c>
    </row>
    <row r="104" spans="1:21" x14ac:dyDescent="0.25">
      <c r="A104" s="6" t="str">
        <f>LEFT($A$10,12)&amp;"_PB_"&amp;RIGHT($A$10,2)&amp;"_RN"</f>
        <v>BXX_WW01_LI1_PB_EL_RN</v>
      </c>
      <c r="B104" s="6" t="str">
        <f t="shared" si="7"/>
        <v>BXX</v>
      </c>
      <c r="C104" s="6" t="str">
        <f>$C$10 &amp; " Dis Reason"</f>
        <v>Station BXX Wet Well 1 Loss of Echo Dis Reason</v>
      </c>
      <c r="D104" s="4">
        <f t="shared" si="4"/>
        <v>46</v>
      </c>
      <c r="E104" s="262" t="s">
        <v>1</v>
      </c>
      <c r="F104" s="262" t="s">
        <v>1</v>
      </c>
      <c r="G104" s="262">
        <v>0</v>
      </c>
      <c r="H104" s="262" t="s">
        <v>0</v>
      </c>
      <c r="I104" s="262">
        <v>131</v>
      </c>
      <c r="J104" s="262" t="s">
        <v>123</v>
      </c>
      <c r="K104" s="220" t="s">
        <v>124</v>
      </c>
      <c r="L104" s="262" t="s">
        <v>0</v>
      </c>
      <c r="M104" s="6" t="str">
        <f t="shared" si="8"/>
        <v>BXX_WW01_LI1_PB_EL_RN</v>
      </c>
      <c r="N104" s="262" t="s">
        <v>1</v>
      </c>
      <c r="O104" s="6" t="str">
        <f t="shared" si="9"/>
        <v>Station BXX Wet Well 1 Loss of Echo Dis Reason</v>
      </c>
    </row>
    <row r="105" spans="1:21" x14ac:dyDescent="0.25">
      <c r="A105" s="6" t="str">
        <f>LEFT($A$14,12)&amp;"_PB_"&amp;RIGHT($A$14,2)&amp;"_RN"</f>
        <v>BXX_WW01_LE1_PB_HH_RN</v>
      </c>
      <c r="B105" s="6" t="str">
        <f t="shared" si="7"/>
        <v>BXX</v>
      </c>
      <c r="C105" s="6" t="str">
        <f>$C$14 &amp; " Dis Reason"</f>
        <v>Station BXX Wet Well 1 High Level Float Dis Reason</v>
      </c>
      <c r="D105" s="4">
        <f t="shared" si="4"/>
        <v>50</v>
      </c>
      <c r="E105" s="262" t="s">
        <v>1</v>
      </c>
      <c r="F105" s="262" t="s">
        <v>1</v>
      </c>
      <c r="G105" s="262">
        <v>0</v>
      </c>
      <c r="H105" s="262" t="s">
        <v>0</v>
      </c>
      <c r="I105" s="262">
        <v>131</v>
      </c>
      <c r="J105" s="262" t="s">
        <v>123</v>
      </c>
      <c r="K105" s="220" t="s">
        <v>124</v>
      </c>
      <c r="L105" s="262" t="s">
        <v>0</v>
      </c>
      <c r="M105" s="6" t="str">
        <f t="shared" si="8"/>
        <v>BXX_WW01_LE1_PB_HH_RN</v>
      </c>
      <c r="N105" s="262" t="s">
        <v>1</v>
      </c>
      <c r="O105" s="6" t="str">
        <f t="shared" si="9"/>
        <v>Station BXX Wet Well 1 High Level Float Dis Reason</v>
      </c>
    </row>
    <row r="106" spans="1:21" x14ac:dyDescent="0.25">
      <c r="A106" s="6" t="str">
        <f>LEFT($A$18,12)&amp;"_PB_"&amp;RIGHT($A$18,2)&amp;"_RN"</f>
        <v>BXX_WW02_LI1_PB_EL_RN</v>
      </c>
      <c r="B106" s="6" t="str">
        <f t="shared" si="7"/>
        <v>BXX</v>
      </c>
      <c r="C106" s="6" t="str">
        <f>$C$18 &amp; " Dis Reason"</f>
        <v>Station BXX Wet Well 2 Loss of Echo Dis Reason</v>
      </c>
      <c r="D106" s="4">
        <f t="shared" si="4"/>
        <v>46</v>
      </c>
      <c r="E106" s="262" t="s">
        <v>1</v>
      </c>
      <c r="F106" s="262" t="s">
        <v>1</v>
      </c>
      <c r="G106" s="262">
        <v>0</v>
      </c>
      <c r="H106" s="262" t="s">
        <v>0</v>
      </c>
      <c r="I106" s="262">
        <v>131</v>
      </c>
      <c r="J106" s="262" t="s">
        <v>123</v>
      </c>
      <c r="K106" s="220" t="s">
        <v>124</v>
      </c>
      <c r="L106" s="262" t="s">
        <v>0</v>
      </c>
      <c r="M106" s="6" t="str">
        <f t="shared" si="8"/>
        <v>BXX_WW02_LI1_PB_EL_RN</v>
      </c>
      <c r="N106" s="262" t="s">
        <v>1</v>
      </c>
      <c r="O106" s="6" t="str">
        <f t="shared" si="9"/>
        <v>Station BXX Wet Well 2 Loss of Echo Dis Reason</v>
      </c>
    </row>
    <row r="107" spans="1:21" x14ac:dyDescent="0.25">
      <c r="A107" s="6" t="str">
        <f>LEFT($A$22,12)&amp;"_PB_"&amp;RIGHT($A$22,2)&amp;"_RN"</f>
        <v>BXX_WW02_LE1_PB_HH_RN</v>
      </c>
      <c r="B107" s="6" t="str">
        <f t="shared" si="7"/>
        <v>BXX</v>
      </c>
      <c r="C107" s="6" t="str">
        <f>$C$22 &amp; " Dis Reason"</f>
        <v>Station BXX Wet Well 2 High Level Float Dis Reason</v>
      </c>
      <c r="D107" s="4">
        <f t="shared" si="4"/>
        <v>50</v>
      </c>
      <c r="E107" s="262" t="s">
        <v>1</v>
      </c>
      <c r="F107" s="262" t="s">
        <v>1</v>
      </c>
      <c r="G107" s="262">
        <v>0</v>
      </c>
      <c r="H107" s="262" t="s">
        <v>0</v>
      </c>
      <c r="I107" s="262">
        <v>131</v>
      </c>
      <c r="J107" s="262" t="s">
        <v>123</v>
      </c>
      <c r="K107" s="220" t="s">
        <v>124</v>
      </c>
      <c r="L107" s="262" t="s">
        <v>0</v>
      </c>
      <c r="M107" s="6" t="str">
        <f t="shared" si="8"/>
        <v>BXX_WW02_LE1_PB_HH_RN</v>
      </c>
      <c r="N107" s="262" t="s">
        <v>1</v>
      </c>
      <c r="O107" s="6" t="str">
        <f t="shared" si="9"/>
        <v>Station BXX Wet Well 2 High Level Float Dis Reason</v>
      </c>
    </row>
    <row r="108" spans="1:21" x14ac:dyDescent="0.25">
      <c r="A108" s="6" t="str">
        <f>LEFT($A$26,12)&amp;"_PB_"&amp;RIGHT($A$26,2)&amp;"_RN"</f>
        <v>BXX_PSB1_CP1_PB_JR_RN</v>
      </c>
      <c r="B108" s="6" t="str">
        <f t="shared" si="7"/>
        <v>BXX</v>
      </c>
      <c r="C108" s="6" t="str">
        <f>$C$26 &amp; " Dis Reason"</f>
        <v>Station BXX Control Power Failure Dis Reason</v>
      </c>
      <c r="D108" s="4">
        <f t="shared" si="4"/>
        <v>44</v>
      </c>
      <c r="E108" s="262" t="s">
        <v>1</v>
      </c>
      <c r="F108" s="262" t="s">
        <v>1</v>
      </c>
      <c r="G108" s="262">
        <v>0</v>
      </c>
      <c r="H108" s="262" t="s">
        <v>0</v>
      </c>
      <c r="I108" s="262">
        <v>131</v>
      </c>
      <c r="J108" s="262" t="s">
        <v>123</v>
      </c>
      <c r="K108" s="220" t="s">
        <v>124</v>
      </c>
      <c r="L108" s="262" t="s">
        <v>0</v>
      </c>
      <c r="M108" s="6" t="str">
        <f t="shared" si="8"/>
        <v>BXX_PSB1_CP1_PB_JR_RN</v>
      </c>
      <c r="N108" s="262" t="s">
        <v>1</v>
      </c>
      <c r="O108" s="6" t="str">
        <f t="shared" si="9"/>
        <v>Station BXX Control Power Failure Dis Reason</v>
      </c>
    </row>
    <row r="109" spans="1:21" x14ac:dyDescent="0.25">
      <c r="A109" s="6" t="str">
        <f>LEFT($A$30,12)&amp;"_PB_"&amp;RIGHT($A$30,2)&amp;"_RN"</f>
        <v>BXX_UPS1_001_PB_GA_RN</v>
      </c>
      <c r="B109" s="6" t="str">
        <f t="shared" si="7"/>
        <v>BXX</v>
      </c>
      <c r="C109" s="6" t="str">
        <f>$C$30 &amp; " Dis Reason"</f>
        <v>Station BXX Main UPS Fault Dis Reason</v>
      </c>
      <c r="D109" s="4">
        <f t="shared" si="4"/>
        <v>37</v>
      </c>
      <c r="E109" s="262" t="s">
        <v>1</v>
      </c>
      <c r="F109" s="262" t="s">
        <v>1</v>
      </c>
      <c r="G109" s="262">
        <v>0</v>
      </c>
      <c r="H109" s="262" t="s">
        <v>0</v>
      </c>
      <c r="I109" s="262">
        <v>131</v>
      </c>
      <c r="J109" s="262" t="s">
        <v>123</v>
      </c>
      <c r="K109" s="220" t="s">
        <v>124</v>
      </c>
      <c r="L109" s="262" t="s">
        <v>0</v>
      </c>
      <c r="M109" s="6" t="str">
        <f t="shared" si="8"/>
        <v>BXX_UPS1_001_PB_GA_RN</v>
      </c>
      <c r="N109" s="262" t="s">
        <v>1</v>
      </c>
      <c r="O109" s="6" t="str">
        <f t="shared" si="9"/>
        <v>Station BXX Main UPS Fault Dis Reason</v>
      </c>
    </row>
    <row r="110" spans="1:21" x14ac:dyDescent="0.25">
      <c r="A110" s="6" t="str">
        <f>LEFT($A$34,12)&amp;"_PB_"&amp;RIGHT($A$34,2)&amp;"_RN"</f>
        <v>BXX_UPS1_BT1_PB_JL_RN</v>
      </c>
      <c r="B110" s="6" t="str">
        <f t="shared" si="7"/>
        <v>BXX</v>
      </c>
      <c r="C110" s="6" t="str">
        <f>$C$34 &amp; " Dis Reason"</f>
        <v>Station BXX Main UPS Low Battery Dis Reason</v>
      </c>
      <c r="D110" s="4">
        <f t="shared" si="4"/>
        <v>43</v>
      </c>
      <c r="E110" s="262" t="s">
        <v>1</v>
      </c>
      <c r="F110" s="262" t="s">
        <v>1</v>
      </c>
      <c r="G110" s="262">
        <v>0</v>
      </c>
      <c r="H110" s="262" t="s">
        <v>0</v>
      </c>
      <c r="I110" s="262">
        <v>131</v>
      </c>
      <c r="J110" s="262" t="s">
        <v>123</v>
      </c>
      <c r="K110" s="220" t="s">
        <v>124</v>
      </c>
      <c r="L110" s="262" t="s">
        <v>0</v>
      </c>
      <c r="M110" s="6" t="str">
        <f t="shared" si="8"/>
        <v>BXX_UPS1_BT1_PB_JL_RN</v>
      </c>
      <c r="N110" s="262" t="s">
        <v>1</v>
      </c>
      <c r="O110" s="6" t="str">
        <f t="shared" si="9"/>
        <v>Station BXX Main UPS Low Battery Dis Reason</v>
      </c>
    </row>
    <row r="111" spans="1:21" x14ac:dyDescent="0.25">
      <c r="A111" s="6" t="str">
        <f>LEFT($A$38,12)&amp;"_PB_"&amp;RIGHT($A$38,2)&amp;"_RN"</f>
        <v>BXX_PSB1_JI1_PB_GA_RN</v>
      </c>
      <c r="B111" s="6" t="str">
        <f t="shared" si="7"/>
        <v>BXX</v>
      </c>
      <c r="C111" s="6" t="str">
        <f>$C$38 &amp; " Dis Reason"</f>
        <v>Station BXX Phase Failure Dis Reason</v>
      </c>
      <c r="D111" s="4">
        <f t="shared" si="4"/>
        <v>36</v>
      </c>
      <c r="E111" s="262" t="s">
        <v>1</v>
      </c>
      <c r="F111" s="262" t="s">
        <v>1</v>
      </c>
      <c r="G111" s="262">
        <v>0</v>
      </c>
      <c r="H111" s="262" t="s">
        <v>0</v>
      </c>
      <c r="I111" s="262">
        <v>131</v>
      </c>
      <c r="J111" s="262" t="s">
        <v>123</v>
      </c>
      <c r="K111" s="220" t="s">
        <v>124</v>
      </c>
      <c r="L111" s="262" t="s">
        <v>0</v>
      </c>
      <c r="M111" s="6" t="str">
        <f t="shared" si="8"/>
        <v>BXX_PSB1_JI1_PB_GA_RN</v>
      </c>
      <c r="N111" s="262" t="s">
        <v>1</v>
      </c>
      <c r="O111" s="6" t="str">
        <f t="shared" si="9"/>
        <v>Station BXX Phase Failure Dis Reason</v>
      </c>
    </row>
    <row r="112" spans="1:21" x14ac:dyDescent="0.25">
      <c r="A112" s="6" t="str">
        <f>LEFT($A$42,12)&amp;"_PB_"&amp;RIGHT($A$42,2)&amp;"_RN"</f>
        <v>BXX_DDT1_LS1_PB_KA_RN</v>
      </c>
      <c r="B112" s="6" t="str">
        <f t="shared" si="7"/>
        <v>BXX</v>
      </c>
      <c r="C112" s="6" t="str">
        <f>$C$42 &amp; " Dis Reason"</f>
        <v>Station BXX Diesel Flood Dis Reason</v>
      </c>
      <c r="D112" s="4">
        <f t="shared" si="4"/>
        <v>35</v>
      </c>
      <c r="E112" s="262" t="s">
        <v>1</v>
      </c>
      <c r="F112" s="262" t="s">
        <v>1</v>
      </c>
      <c r="G112" s="262">
        <v>0</v>
      </c>
      <c r="H112" s="262" t="s">
        <v>0</v>
      </c>
      <c r="I112" s="262">
        <v>131</v>
      </c>
      <c r="J112" s="262" t="s">
        <v>123</v>
      </c>
      <c r="K112" s="220" t="s">
        <v>124</v>
      </c>
      <c r="L112" s="262" t="s">
        <v>0</v>
      </c>
      <c r="M112" s="6" t="str">
        <f t="shared" si="8"/>
        <v>BXX_DDT1_LS1_PB_KA_RN</v>
      </c>
      <c r="N112" s="262" t="s">
        <v>1</v>
      </c>
      <c r="O112" s="6" t="str">
        <f t="shared" si="9"/>
        <v>Station BXX Diesel Flood Dis Reason</v>
      </c>
    </row>
    <row r="113" spans="1:15" x14ac:dyDescent="0.25">
      <c r="A113" s="6" t="str">
        <f>LEFT($A$46,12)&amp;"_PB_"&amp;RIGHT($A$46,2)&amp;"_RN"</f>
        <v>BXX_DDV1_LS1_PB_KA_RN</v>
      </c>
      <c r="B113" s="6" t="str">
        <f t="shared" si="7"/>
        <v>BXX</v>
      </c>
      <c r="C113" s="6" t="str">
        <f>$C$46 &amp; " Dis Reason"</f>
        <v>Station BXX Diesel Tank Loss Vac Alarm Dis Reason</v>
      </c>
      <c r="D113" s="4">
        <f t="shared" si="4"/>
        <v>49</v>
      </c>
      <c r="E113" s="262" t="s">
        <v>1</v>
      </c>
      <c r="F113" s="262" t="s">
        <v>1</v>
      </c>
      <c r="G113" s="262">
        <v>0</v>
      </c>
      <c r="H113" s="262" t="s">
        <v>0</v>
      </c>
      <c r="I113" s="262">
        <v>131</v>
      </c>
      <c r="J113" s="262" t="s">
        <v>123</v>
      </c>
      <c r="K113" s="220" t="s">
        <v>124</v>
      </c>
      <c r="L113" s="262" t="s">
        <v>0</v>
      </c>
      <c r="M113" s="6" t="str">
        <f t="shared" si="8"/>
        <v>BXX_DDV1_LS1_PB_KA_RN</v>
      </c>
      <c r="N113" s="262" t="s">
        <v>1</v>
      </c>
      <c r="O113" s="6" t="str">
        <f t="shared" si="9"/>
        <v>Station BXX Diesel Tank Loss Vac Alarm Dis Reason</v>
      </c>
    </row>
    <row r="114" spans="1:15" x14ac:dyDescent="0.25">
      <c r="A114" s="6" t="str">
        <f>LEFT($A$50,12)&amp;"_PB_"&amp;RIGHT($A$50,2)&amp;"_RN"</f>
        <v>BXX_PSB1_JI1_PB_NF_RN</v>
      </c>
      <c r="B114" s="6" t="str">
        <f t="shared" si="7"/>
        <v>BXX</v>
      </c>
      <c r="C114" s="6" t="str">
        <f>$C$50 &amp; " Dis Reason"</f>
        <v>Station BXX Ground Fault Dis Reason</v>
      </c>
      <c r="D114" s="4">
        <f t="shared" si="4"/>
        <v>35</v>
      </c>
      <c r="E114" s="262" t="s">
        <v>1</v>
      </c>
      <c r="F114" s="262" t="s">
        <v>1</v>
      </c>
      <c r="G114" s="262">
        <v>0</v>
      </c>
      <c r="H114" s="262" t="s">
        <v>0</v>
      </c>
      <c r="I114" s="262">
        <v>131</v>
      </c>
      <c r="J114" s="262" t="s">
        <v>123</v>
      </c>
      <c r="K114" s="220" t="s">
        <v>124</v>
      </c>
      <c r="L114" s="262" t="s">
        <v>0</v>
      </c>
      <c r="M114" s="6" t="str">
        <f t="shared" si="8"/>
        <v>BXX_PSB1_JI1_PB_NF_RN</v>
      </c>
      <c r="N114" s="262" t="s">
        <v>1</v>
      </c>
      <c r="O114" s="6" t="str">
        <f t="shared" si="9"/>
        <v>Station BXX Ground Fault Dis Reason</v>
      </c>
    </row>
    <row r="115" spans="1:15" x14ac:dyDescent="0.25">
      <c r="A115" s="6" t="str">
        <f>LEFT($A$54,12)&amp;"_PB_"&amp;RIGHT($A$54,2)&amp;"_RN"</f>
        <v>BXX_GEN1_VV1_PB_SF_RN</v>
      </c>
      <c r="B115" s="6" t="str">
        <f t="shared" si="7"/>
        <v>BXX</v>
      </c>
      <c r="C115" s="6" t="str">
        <f>$C$54 &amp; " Dis Reason"</f>
        <v>Station BXX Louver Failed to Open Dis Reason</v>
      </c>
      <c r="D115" s="4">
        <f t="shared" si="4"/>
        <v>44</v>
      </c>
      <c r="E115" s="262" t="s">
        <v>1</v>
      </c>
      <c r="F115" s="262" t="s">
        <v>1</v>
      </c>
      <c r="G115" s="262">
        <v>0</v>
      </c>
      <c r="H115" s="262" t="s">
        <v>0</v>
      </c>
      <c r="I115" s="262">
        <v>131</v>
      </c>
      <c r="J115" s="262" t="s">
        <v>123</v>
      </c>
      <c r="K115" s="220" t="s">
        <v>124</v>
      </c>
      <c r="L115" s="262" t="s">
        <v>0</v>
      </c>
      <c r="M115" s="6" t="str">
        <f t="shared" si="8"/>
        <v>BXX_GEN1_VV1_PB_SF_RN</v>
      </c>
      <c r="N115" s="262" t="s">
        <v>1</v>
      </c>
      <c r="O115" s="6" t="str">
        <f t="shared" si="9"/>
        <v>Station BXX Louver Failed to Open Dis Reason</v>
      </c>
    </row>
    <row r="116" spans="1:15" x14ac:dyDescent="0.25">
      <c r="A116" s="6" t="str">
        <f>LEFT($A$58,12)&amp;"_PB_"&amp;RIGHT($A$58,2)&amp;"_RN"</f>
        <v>BXX_PSB1_TI1_PB_TL_RN</v>
      </c>
      <c r="B116" s="6" t="str">
        <f t="shared" si="7"/>
        <v>BXX</v>
      </c>
      <c r="C116" s="6" t="str">
        <f>$C$58 &amp; " Dis Reason"</f>
        <v>Station BXX Low Temperature Dis Reason</v>
      </c>
      <c r="D116" s="4">
        <f t="shared" si="4"/>
        <v>38</v>
      </c>
      <c r="E116" s="262" t="s">
        <v>1</v>
      </c>
      <c r="F116" s="262" t="s">
        <v>1</v>
      </c>
      <c r="G116" s="262">
        <v>0</v>
      </c>
      <c r="H116" s="262" t="s">
        <v>0</v>
      </c>
      <c r="I116" s="262">
        <v>131</v>
      </c>
      <c r="J116" s="262" t="s">
        <v>123</v>
      </c>
      <c r="K116" s="220" t="s">
        <v>124</v>
      </c>
      <c r="L116" s="262" t="s">
        <v>0</v>
      </c>
      <c r="M116" s="6" t="str">
        <f t="shared" si="8"/>
        <v>BXX_PSB1_TI1_PB_TL_RN</v>
      </c>
      <c r="N116" s="262" t="s">
        <v>1</v>
      </c>
      <c r="O116" s="6" t="str">
        <f t="shared" si="9"/>
        <v>Station BXX Low Temperature Dis Reason</v>
      </c>
    </row>
    <row r="117" spans="1:15" x14ac:dyDescent="0.25">
      <c r="A117" s="6" t="str">
        <f>LEFT($A$62,12)&amp;"_PB_"&amp;RIGHT($A$62,2)&amp;"_RN"</f>
        <v>BXX_PSB1_TI1_PB_TH_RN</v>
      </c>
      <c r="B117" s="6" t="str">
        <f t="shared" si="7"/>
        <v>BXX</v>
      </c>
      <c r="C117" s="6" t="str">
        <f>$C$62 &amp; " Dis Reason"</f>
        <v>Station BXX High Temperature Dis Reason</v>
      </c>
      <c r="D117" s="4">
        <f t="shared" si="4"/>
        <v>39</v>
      </c>
      <c r="E117" s="262" t="s">
        <v>1</v>
      </c>
      <c r="F117" s="262" t="s">
        <v>1</v>
      </c>
      <c r="G117" s="262">
        <v>0</v>
      </c>
      <c r="H117" s="262" t="s">
        <v>0</v>
      </c>
      <c r="I117" s="262">
        <v>131</v>
      </c>
      <c r="J117" s="262" t="s">
        <v>123</v>
      </c>
      <c r="K117" s="220" t="s">
        <v>124</v>
      </c>
      <c r="L117" s="262" t="s">
        <v>0</v>
      </c>
      <c r="M117" s="6" t="str">
        <f t="shared" si="8"/>
        <v>BXX_PSB1_TI1_PB_TH_RN</v>
      </c>
      <c r="N117" s="262" t="s">
        <v>1</v>
      </c>
      <c r="O117" s="6" t="str">
        <f t="shared" si="9"/>
        <v>Station BXX High Temperature Dis Reason</v>
      </c>
    </row>
    <row r="118" spans="1:15" x14ac:dyDescent="0.25">
      <c r="A118" s="6" t="str">
        <f>LEFT($A$66,12)&amp;"_PB_"&amp;RIGHT($A$66,2)&amp;"_RN"</f>
        <v>BXX_DW01_LE1_PB_KA_RN</v>
      </c>
      <c r="B118" s="6" t="str">
        <f t="shared" si="7"/>
        <v>BXX</v>
      </c>
      <c r="C118" s="6" t="str">
        <f>$C$63 &amp; " Dis Reason"</f>
        <v>Station BXX High Temperature Enable Dis Reason</v>
      </c>
      <c r="D118" s="4">
        <f t="shared" si="4"/>
        <v>46</v>
      </c>
      <c r="E118" s="262" t="s">
        <v>1</v>
      </c>
      <c r="F118" s="262" t="s">
        <v>1</v>
      </c>
      <c r="G118" s="262">
        <v>0</v>
      </c>
      <c r="H118" s="262" t="s">
        <v>0</v>
      </c>
      <c r="I118" s="262">
        <v>131</v>
      </c>
      <c r="J118" s="262" t="s">
        <v>123</v>
      </c>
      <c r="K118" s="220" t="s">
        <v>124</v>
      </c>
      <c r="L118" s="262" t="s">
        <v>0</v>
      </c>
      <c r="M118" s="6" t="str">
        <f t="shared" si="8"/>
        <v>BXX_DW01_LE1_PB_KA_RN</v>
      </c>
      <c r="N118" s="262" t="s">
        <v>1</v>
      </c>
      <c r="O118" s="6" t="str">
        <f t="shared" si="9"/>
        <v>Station BXX High Temperature Enable Dis Reason</v>
      </c>
    </row>
    <row r="119" spans="1:15" x14ac:dyDescent="0.25">
      <c r="A119" s="6" t="str">
        <f>LEFT($A$70,12)&amp;"_PB_"&amp;RIGHT($A$70,2)&amp;"_RN"</f>
        <v>BXX_PSB1_001_PB_YA_RN</v>
      </c>
      <c r="B119" s="6" t="str">
        <f t="shared" si="7"/>
        <v>BXX</v>
      </c>
      <c r="C119" s="6" t="str">
        <f>$C$64 &amp; " Dis Reason"</f>
        <v>Station BXX High Temperature Dialer En Dis Reason</v>
      </c>
      <c r="D119" s="4">
        <f t="shared" si="4"/>
        <v>49</v>
      </c>
      <c r="E119" s="262" t="s">
        <v>1</v>
      </c>
      <c r="F119" s="262" t="s">
        <v>1</v>
      </c>
      <c r="G119" s="262">
        <v>0</v>
      </c>
      <c r="H119" s="262" t="s">
        <v>0</v>
      </c>
      <c r="I119" s="262">
        <v>131</v>
      </c>
      <c r="J119" s="262" t="s">
        <v>123</v>
      </c>
      <c r="K119" s="220" t="s">
        <v>124</v>
      </c>
      <c r="L119" s="262" t="s">
        <v>0</v>
      </c>
      <c r="M119" s="6" t="str">
        <f t="shared" si="8"/>
        <v>BXX_PSB1_001_PB_YA_RN</v>
      </c>
      <c r="N119" s="262" t="s">
        <v>1</v>
      </c>
      <c r="O119" s="6" t="str">
        <f t="shared" si="9"/>
        <v>Station BXX High Temperature Dialer En Dis Reason</v>
      </c>
    </row>
    <row r="120" spans="1:15" x14ac:dyDescent="0.25">
      <c r="A120" s="6" t="str">
        <f>LEFT($A$74,12)&amp;"_PB_"&amp;RIGHT($A$74,2)&amp;"_RN"</f>
        <v>BXX_GDS1_GI1_PB_AR_RN</v>
      </c>
      <c r="B120" s="6" t="str">
        <f t="shared" si="7"/>
        <v>BXX</v>
      </c>
      <c r="C120" s="6" t="str">
        <f>$C$74 &amp; " Dis Reason"</f>
        <v>Station BXX Gas Detector Failure Dis Reason</v>
      </c>
      <c r="D120" s="4">
        <f t="shared" si="4"/>
        <v>43</v>
      </c>
      <c r="E120" s="262" t="s">
        <v>1</v>
      </c>
      <c r="F120" s="262" t="s">
        <v>1</v>
      </c>
      <c r="G120" s="262">
        <v>0</v>
      </c>
      <c r="H120" s="262" t="s">
        <v>0</v>
      </c>
      <c r="I120" s="262">
        <v>131</v>
      </c>
      <c r="J120" s="262" t="s">
        <v>123</v>
      </c>
      <c r="K120" s="220" t="s">
        <v>124</v>
      </c>
      <c r="L120" s="262" t="s">
        <v>0</v>
      </c>
      <c r="M120" s="6" t="str">
        <f t="shared" si="8"/>
        <v>BXX_GDS1_GI1_PB_AR_RN</v>
      </c>
      <c r="N120" s="262" t="s">
        <v>1</v>
      </c>
      <c r="O120" s="6" t="str">
        <f t="shared" si="9"/>
        <v>Station BXX Gas Detector Failure Dis Reason</v>
      </c>
    </row>
    <row r="121" spans="1:15" x14ac:dyDescent="0.25">
      <c r="A121" s="6" t="str">
        <f>LEFT($A$78,12)&amp;"_PB_"&amp;RIGHT($A$78,2)&amp;"_RN"</f>
        <v>BXX_GDS1_GI1_PB_AG_RN</v>
      </c>
      <c r="B121" s="6" t="str">
        <f t="shared" si="7"/>
        <v>BXX</v>
      </c>
      <c r="C121" s="6" t="str">
        <f>$C$78 &amp; " Dis Reason"</f>
        <v>Station BXX Gas Detector Alarm Dis Reason</v>
      </c>
      <c r="D121" s="4">
        <f t="shared" si="4"/>
        <v>41</v>
      </c>
      <c r="E121" s="262" t="s">
        <v>1</v>
      </c>
      <c r="F121" s="262" t="s">
        <v>1</v>
      </c>
      <c r="G121" s="262">
        <v>0</v>
      </c>
      <c r="H121" s="262" t="s">
        <v>0</v>
      </c>
      <c r="I121" s="262">
        <v>131</v>
      </c>
      <c r="J121" s="262" t="s">
        <v>123</v>
      </c>
      <c r="K121" s="220" t="s">
        <v>124</v>
      </c>
      <c r="L121" s="262" t="s">
        <v>0</v>
      </c>
      <c r="M121" s="6" t="str">
        <f t="shared" si="8"/>
        <v>BXX_GDS1_GI1_PB_AG_RN</v>
      </c>
      <c r="N121" s="262" t="s">
        <v>1</v>
      </c>
      <c r="O121" s="6" t="str">
        <f t="shared" si="9"/>
        <v>Station BXX Gas Detector Alarm Dis Reason</v>
      </c>
    </row>
    <row r="122" spans="1:15" x14ac:dyDescent="0.25">
      <c r="A122" s="6" t="str">
        <f>LEFT($A$82,12)&amp;"_PB_"&amp;RIGHT($A$82,2)&amp;"_RN"</f>
        <v>BXX_GDS1_GI1_PB_AW_RN</v>
      </c>
      <c r="B122" s="6" t="str">
        <f t="shared" si="7"/>
        <v>BXX</v>
      </c>
      <c r="C122" s="6" t="str">
        <f>$C$82 &amp; " Dis Reason"</f>
        <v>Station BXX Gas Detector Warning Dis Reason</v>
      </c>
      <c r="D122" s="4">
        <f t="shared" si="4"/>
        <v>43</v>
      </c>
      <c r="E122" s="262" t="s">
        <v>1</v>
      </c>
      <c r="F122" s="262" t="s">
        <v>1</v>
      </c>
      <c r="G122" s="262">
        <v>0</v>
      </c>
      <c r="H122" s="262" t="s">
        <v>0</v>
      </c>
      <c r="I122" s="262">
        <v>131</v>
      </c>
      <c r="J122" s="262" t="s">
        <v>123</v>
      </c>
      <c r="K122" s="220" t="s">
        <v>124</v>
      </c>
      <c r="L122" s="262" t="s">
        <v>0</v>
      </c>
      <c r="M122" s="6" t="str">
        <f t="shared" si="8"/>
        <v>BXX_GDS1_GI1_PB_AW_RN</v>
      </c>
      <c r="N122" s="262" t="s">
        <v>1</v>
      </c>
      <c r="O122" s="6" t="str">
        <f t="shared" si="9"/>
        <v>Station BXX Gas Detector Warning Dis Reason</v>
      </c>
    </row>
    <row r="123" spans="1:15" x14ac:dyDescent="0.25">
      <c r="A123" s="6" t="str">
        <f>LEFT($A$86,12)&amp;"_PB_"&amp;RIGHT($A$86,2)&amp;"_RN"</f>
        <v>BXX_PSU1_001_PB_GA_RN</v>
      </c>
      <c r="B123" s="6" t="str">
        <f t="shared" si="7"/>
        <v>BXX</v>
      </c>
      <c r="C123" s="6" t="str">
        <f>$C$86 &amp; " Dis Reason"</f>
        <v>Station BXX Main 24VDC Power Fault Dis Reason</v>
      </c>
      <c r="D123" s="4">
        <f t="shared" si="4"/>
        <v>45</v>
      </c>
      <c r="E123" s="262" t="s">
        <v>1</v>
      </c>
      <c r="F123" s="262" t="s">
        <v>1</v>
      </c>
      <c r="G123" s="262">
        <v>0</v>
      </c>
      <c r="H123" s="262" t="s">
        <v>0</v>
      </c>
      <c r="I123" s="262">
        <v>131</v>
      </c>
      <c r="J123" s="262" t="s">
        <v>123</v>
      </c>
      <c r="K123" s="220" t="s">
        <v>124</v>
      </c>
      <c r="L123" s="262" t="s">
        <v>0</v>
      </c>
      <c r="M123" s="6" t="str">
        <f t="shared" si="8"/>
        <v>BXX_PSU1_001_PB_GA_RN</v>
      </c>
      <c r="N123" s="262" t="s">
        <v>1</v>
      </c>
      <c r="O123" s="6" t="str">
        <f t="shared" si="9"/>
        <v>Station BXX Main 24VDC Power Fault Dis Reason</v>
      </c>
    </row>
    <row r="124" spans="1:15" ht="12.6" customHeight="1" x14ac:dyDescent="0.25">
      <c r="A124" s="6" t="str">
        <f>LEFT($A$90,12)&amp;"_PB_"&amp;RIGHT($A$90,2)&amp;"_RN"</f>
        <v>BXX_BLS1_CP1_PB_GA_RN</v>
      </c>
      <c r="B124" s="6" t="str">
        <f t="shared" si="7"/>
        <v>BXX</v>
      </c>
      <c r="C124" s="6" t="str">
        <f>$C$90 &amp; " Dis Reason"</f>
        <v>Station BXX Backup 24VDC Power Fault Dis Reason</v>
      </c>
      <c r="D124" s="4">
        <f t="shared" si="4"/>
        <v>47</v>
      </c>
      <c r="E124" s="262" t="s">
        <v>1</v>
      </c>
      <c r="F124" s="262" t="s">
        <v>1</v>
      </c>
      <c r="G124" s="262">
        <v>0</v>
      </c>
      <c r="H124" s="262" t="s">
        <v>0</v>
      </c>
      <c r="I124" s="262">
        <v>131</v>
      </c>
      <c r="J124" s="262" t="s">
        <v>123</v>
      </c>
      <c r="K124" s="220" t="s">
        <v>124</v>
      </c>
      <c r="L124" s="262" t="s">
        <v>0</v>
      </c>
      <c r="M124" s="6" t="str">
        <f t="shared" si="8"/>
        <v>BXX_BLS1_CP1_PB_GA_RN</v>
      </c>
      <c r="N124" s="262" t="s">
        <v>1</v>
      </c>
      <c r="O124" s="6" t="str">
        <f t="shared" si="9"/>
        <v>Station BXX Backup 24VDC Power Fault Dis Reason</v>
      </c>
    </row>
    <row r="125" spans="1:15" ht="12.6" customHeight="1" x14ac:dyDescent="0.25">
      <c r="A125" s="6" t="str">
        <f>LEFT($A$94,12)&amp;"_PB_"&amp;RIGHT($A$94,2)&amp;"_RN"</f>
        <v>BXX_STN1_EY1_PB_SS_RN</v>
      </c>
      <c r="B125" s="6" t="str">
        <f t="shared" si="7"/>
        <v>BXX</v>
      </c>
      <c r="C125" s="6" t="str">
        <f>$C$94 &amp; " Dis Reason"</f>
        <v>Station BXX Eyewash Station Active Dis Reason</v>
      </c>
      <c r="D125" s="4">
        <f t="shared" si="4"/>
        <v>45</v>
      </c>
      <c r="E125" s="262" t="s">
        <v>1</v>
      </c>
      <c r="F125" s="262" t="s">
        <v>1</v>
      </c>
      <c r="G125" s="262">
        <v>0</v>
      </c>
      <c r="H125" s="262" t="s">
        <v>0</v>
      </c>
      <c r="I125" s="262">
        <v>131</v>
      </c>
      <c r="J125" s="262" t="s">
        <v>123</v>
      </c>
      <c r="K125" s="220" t="s">
        <v>124</v>
      </c>
      <c r="L125" s="262" t="s">
        <v>0</v>
      </c>
      <c r="M125" s="6" t="str">
        <f t="shared" si="8"/>
        <v>BXX_STN1_EY1_PB_SS_RN</v>
      </c>
      <c r="N125" s="262" t="s">
        <v>1</v>
      </c>
      <c r="O125" s="6" t="str">
        <f t="shared" si="9"/>
        <v>Station BXX Eyewash Station Active Dis Reason</v>
      </c>
    </row>
    <row r="126" spans="1:15" x14ac:dyDescent="0.25">
      <c r="A126" s="6" t="str">
        <f>LEFT($A$98,12)&amp;"_PB_"&amp;RIGHT($A$98,2)&amp;"_RN"</f>
        <v>BXX_GEN1_JI1_PB_CD_RN</v>
      </c>
      <c r="B126" s="6" t="str">
        <f t="shared" si="7"/>
        <v>BXX</v>
      </c>
      <c r="C126" s="6" t="str">
        <f>$C$98 &amp; " Dis Rsn"</f>
        <v>Station BXX Generator Breaker Not Closed Dis Rsn</v>
      </c>
      <c r="D126" s="4">
        <f t="shared" ref="D126" si="10">LEN(C126)</f>
        <v>48</v>
      </c>
      <c r="E126" s="262" t="s">
        <v>1</v>
      </c>
      <c r="F126" s="262" t="s">
        <v>1</v>
      </c>
      <c r="G126" s="262">
        <v>0</v>
      </c>
      <c r="H126" s="262" t="s">
        <v>0</v>
      </c>
      <c r="I126" s="262">
        <v>131</v>
      </c>
      <c r="J126" s="262" t="s">
        <v>123</v>
      </c>
      <c r="K126" s="220" t="s">
        <v>124</v>
      </c>
      <c r="L126" s="262" t="s">
        <v>0</v>
      </c>
      <c r="M126" s="6" t="str">
        <f t="shared" si="8"/>
        <v>BXX_GEN1_JI1_PB_CD_RN</v>
      </c>
      <c r="N126" s="262" t="s">
        <v>1</v>
      </c>
      <c r="O126" s="6" t="str">
        <f t="shared" si="9"/>
        <v>Station BXX Generator Breaker Not Closed Dis Rsn</v>
      </c>
    </row>
  </sheetData>
  <conditionalFormatting sqref="D2">
    <cfRule type="cellIs" dxfId="326" priority="134" operator="greaterThan">
      <formula>49</formula>
    </cfRule>
  </conditionalFormatting>
  <conditionalFormatting sqref="D3">
    <cfRule type="cellIs" dxfId="325" priority="133" operator="greaterThan">
      <formula>49</formula>
    </cfRule>
  </conditionalFormatting>
  <conditionalFormatting sqref="D4">
    <cfRule type="cellIs" dxfId="324" priority="132" operator="greaterThan">
      <formula>49</formula>
    </cfRule>
  </conditionalFormatting>
  <conditionalFormatting sqref="D6">
    <cfRule type="cellIs" dxfId="323" priority="131" operator="greaterThan">
      <formula>49</formula>
    </cfRule>
  </conditionalFormatting>
  <conditionalFormatting sqref="D7">
    <cfRule type="cellIs" dxfId="322" priority="130" operator="greaterThan">
      <formula>49</formula>
    </cfRule>
  </conditionalFormatting>
  <conditionalFormatting sqref="D8">
    <cfRule type="cellIs" dxfId="321" priority="129" operator="greaterThan">
      <formula>49</formula>
    </cfRule>
  </conditionalFormatting>
  <conditionalFormatting sqref="D9">
    <cfRule type="cellIs" dxfId="320" priority="128" operator="greaterThan">
      <formula>49</formula>
    </cfRule>
  </conditionalFormatting>
  <conditionalFormatting sqref="D10">
    <cfRule type="cellIs" dxfId="319" priority="127" operator="greaterThan">
      <formula>49</formula>
    </cfRule>
  </conditionalFormatting>
  <conditionalFormatting sqref="D11">
    <cfRule type="cellIs" dxfId="318" priority="126" operator="greaterThan">
      <formula>49</formula>
    </cfRule>
  </conditionalFormatting>
  <conditionalFormatting sqref="D12">
    <cfRule type="cellIs" dxfId="317" priority="125" operator="greaterThan">
      <formula>49</formula>
    </cfRule>
  </conditionalFormatting>
  <conditionalFormatting sqref="D13">
    <cfRule type="cellIs" dxfId="316" priority="124" operator="greaterThan">
      <formula>49</formula>
    </cfRule>
  </conditionalFormatting>
  <conditionalFormatting sqref="D14">
    <cfRule type="cellIs" dxfId="315" priority="123" operator="greaterThan">
      <formula>49</formula>
    </cfRule>
  </conditionalFormatting>
  <conditionalFormatting sqref="D15">
    <cfRule type="cellIs" dxfId="314" priority="122" operator="greaterThan">
      <formula>49</formula>
    </cfRule>
  </conditionalFormatting>
  <conditionalFormatting sqref="D16">
    <cfRule type="cellIs" dxfId="313" priority="121" operator="greaterThan">
      <formula>49</formula>
    </cfRule>
  </conditionalFormatting>
  <conditionalFormatting sqref="D17">
    <cfRule type="cellIs" dxfId="312" priority="120" operator="greaterThan">
      <formula>49</formula>
    </cfRule>
  </conditionalFormatting>
  <conditionalFormatting sqref="D18">
    <cfRule type="cellIs" dxfId="311" priority="119" operator="greaterThan">
      <formula>49</formula>
    </cfRule>
  </conditionalFormatting>
  <conditionalFormatting sqref="D19">
    <cfRule type="cellIs" dxfId="310" priority="118" operator="greaterThan">
      <formula>49</formula>
    </cfRule>
  </conditionalFormatting>
  <conditionalFormatting sqref="D20">
    <cfRule type="cellIs" dxfId="309" priority="117" operator="greaterThan">
      <formula>49</formula>
    </cfRule>
  </conditionalFormatting>
  <conditionalFormatting sqref="D21">
    <cfRule type="cellIs" dxfId="308" priority="116" operator="greaterThan">
      <formula>49</formula>
    </cfRule>
  </conditionalFormatting>
  <conditionalFormatting sqref="D22">
    <cfRule type="cellIs" dxfId="307" priority="115" operator="greaterThan">
      <formula>49</formula>
    </cfRule>
  </conditionalFormatting>
  <conditionalFormatting sqref="D23">
    <cfRule type="cellIs" dxfId="306" priority="114" operator="greaterThan">
      <formula>49</formula>
    </cfRule>
  </conditionalFormatting>
  <conditionalFormatting sqref="D24">
    <cfRule type="cellIs" dxfId="305" priority="113" operator="greaterThan">
      <formula>49</formula>
    </cfRule>
  </conditionalFormatting>
  <conditionalFormatting sqref="D25">
    <cfRule type="cellIs" dxfId="304" priority="112" operator="greaterThan">
      <formula>49</formula>
    </cfRule>
  </conditionalFormatting>
  <conditionalFormatting sqref="D26">
    <cfRule type="cellIs" dxfId="303" priority="111" operator="greaterThan">
      <formula>49</formula>
    </cfRule>
  </conditionalFormatting>
  <conditionalFormatting sqref="D27">
    <cfRule type="cellIs" dxfId="302" priority="110" operator="greaterThan">
      <formula>49</formula>
    </cfRule>
  </conditionalFormatting>
  <conditionalFormatting sqref="D28">
    <cfRule type="cellIs" dxfId="301" priority="109" operator="greaterThan">
      <formula>49</formula>
    </cfRule>
  </conditionalFormatting>
  <conditionalFormatting sqref="D29">
    <cfRule type="cellIs" dxfId="300" priority="108" operator="greaterThan">
      <formula>49</formula>
    </cfRule>
  </conditionalFormatting>
  <conditionalFormatting sqref="D30">
    <cfRule type="cellIs" dxfId="299" priority="107" operator="greaterThan">
      <formula>49</formula>
    </cfRule>
  </conditionalFormatting>
  <conditionalFormatting sqref="D31">
    <cfRule type="cellIs" dxfId="298" priority="106" operator="greaterThan">
      <formula>49</formula>
    </cfRule>
  </conditionalFormatting>
  <conditionalFormatting sqref="D32">
    <cfRule type="cellIs" dxfId="297" priority="105" operator="greaterThan">
      <formula>49</formula>
    </cfRule>
  </conditionalFormatting>
  <conditionalFormatting sqref="D33">
    <cfRule type="cellIs" dxfId="296" priority="104" operator="greaterThan">
      <formula>49</formula>
    </cfRule>
  </conditionalFormatting>
  <conditionalFormatting sqref="D34">
    <cfRule type="cellIs" dxfId="295" priority="103" operator="greaterThan">
      <formula>49</formula>
    </cfRule>
  </conditionalFormatting>
  <conditionalFormatting sqref="D35">
    <cfRule type="cellIs" dxfId="294" priority="102" operator="greaterThan">
      <formula>49</formula>
    </cfRule>
  </conditionalFormatting>
  <conditionalFormatting sqref="D36">
    <cfRule type="cellIs" dxfId="293" priority="101" operator="greaterThan">
      <formula>49</formula>
    </cfRule>
  </conditionalFormatting>
  <conditionalFormatting sqref="D37">
    <cfRule type="cellIs" dxfId="292" priority="100" operator="greaterThan">
      <formula>49</formula>
    </cfRule>
  </conditionalFormatting>
  <conditionalFormatting sqref="D38">
    <cfRule type="cellIs" dxfId="291" priority="99" operator="greaterThan">
      <formula>49</formula>
    </cfRule>
  </conditionalFormatting>
  <conditionalFormatting sqref="D39">
    <cfRule type="cellIs" dxfId="290" priority="98" operator="greaterThan">
      <formula>49</formula>
    </cfRule>
  </conditionalFormatting>
  <conditionalFormatting sqref="D40">
    <cfRule type="cellIs" dxfId="289" priority="97" operator="greaterThan">
      <formula>49</formula>
    </cfRule>
  </conditionalFormatting>
  <conditionalFormatting sqref="D41">
    <cfRule type="cellIs" dxfId="288" priority="96" operator="greaterThan">
      <formula>49</formula>
    </cfRule>
  </conditionalFormatting>
  <conditionalFormatting sqref="D42">
    <cfRule type="cellIs" dxfId="287" priority="95" operator="greaterThan">
      <formula>49</formula>
    </cfRule>
  </conditionalFormatting>
  <conditionalFormatting sqref="D43">
    <cfRule type="cellIs" dxfId="286" priority="94" operator="greaterThan">
      <formula>49</formula>
    </cfRule>
  </conditionalFormatting>
  <conditionalFormatting sqref="D44">
    <cfRule type="cellIs" dxfId="285" priority="93" operator="greaterThan">
      <formula>49</formula>
    </cfRule>
  </conditionalFormatting>
  <conditionalFormatting sqref="D45">
    <cfRule type="cellIs" dxfId="284" priority="92" operator="greaterThan">
      <formula>49</formula>
    </cfRule>
  </conditionalFormatting>
  <conditionalFormatting sqref="D50">
    <cfRule type="cellIs" dxfId="283" priority="91" operator="greaterThan">
      <formula>49</formula>
    </cfRule>
  </conditionalFormatting>
  <conditionalFormatting sqref="D51">
    <cfRule type="cellIs" dxfId="282" priority="90" operator="greaterThan">
      <formula>49</formula>
    </cfRule>
  </conditionalFormatting>
  <conditionalFormatting sqref="D52">
    <cfRule type="cellIs" dxfId="281" priority="89" operator="greaterThan">
      <formula>49</formula>
    </cfRule>
  </conditionalFormatting>
  <conditionalFormatting sqref="D53">
    <cfRule type="cellIs" dxfId="280" priority="88" operator="greaterThan">
      <formula>49</formula>
    </cfRule>
  </conditionalFormatting>
  <conditionalFormatting sqref="D54">
    <cfRule type="cellIs" dxfId="279" priority="87" operator="greaterThan">
      <formula>49</formula>
    </cfRule>
  </conditionalFormatting>
  <conditionalFormatting sqref="D55">
    <cfRule type="cellIs" dxfId="278" priority="86" operator="greaterThan">
      <formula>49</formula>
    </cfRule>
  </conditionalFormatting>
  <conditionalFormatting sqref="D56">
    <cfRule type="cellIs" dxfId="277" priority="85" operator="greaterThan">
      <formula>49</formula>
    </cfRule>
  </conditionalFormatting>
  <conditionalFormatting sqref="D57">
    <cfRule type="cellIs" dxfId="276" priority="84" operator="greaterThan">
      <formula>49</formula>
    </cfRule>
  </conditionalFormatting>
  <conditionalFormatting sqref="D58">
    <cfRule type="cellIs" dxfId="275" priority="83" operator="greaterThan">
      <formula>49</formula>
    </cfRule>
  </conditionalFormatting>
  <conditionalFormatting sqref="D59">
    <cfRule type="cellIs" dxfId="274" priority="82" operator="greaterThan">
      <formula>49</formula>
    </cfRule>
  </conditionalFormatting>
  <conditionalFormatting sqref="D60">
    <cfRule type="cellIs" dxfId="273" priority="81" operator="greaterThan">
      <formula>49</formula>
    </cfRule>
  </conditionalFormatting>
  <conditionalFormatting sqref="D61">
    <cfRule type="cellIs" dxfId="272" priority="80" operator="greaterThan">
      <formula>49</formula>
    </cfRule>
  </conditionalFormatting>
  <conditionalFormatting sqref="D62">
    <cfRule type="cellIs" dxfId="271" priority="79" operator="greaterThan">
      <formula>49</formula>
    </cfRule>
  </conditionalFormatting>
  <conditionalFormatting sqref="D63">
    <cfRule type="cellIs" dxfId="270" priority="78" operator="greaterThan">
      <formula>49</formula>
    </cfRule>
  </conditionalFormatting>
  <conditionalFormatting sqref="D64">
    <cfRule type="cellIs" dxfId="269" priority="77" operator="greaterThan">
      <formula>49</formula>
    </cfRule>
  </conditionalFormatting>
  <conditionalFormatting sqref="D65">
    <cfRule type="cellIs" dxfId="268" priority="76" operator="greaterThan">
      <formula>49</formula>
    </cfRule>
  </conditionalFormatting>
  <conditionalFormatting sqref="D66">
    <cfRule type="cellIs" dxfId="267" priority="75" operator="greaterThan">
      <formula>49</formula>
    </cfRule>
  </conditionalFormatting>
  <conditionalFormatting sqref="D67">
    <cfRule type="cellIs" dxfId="266" priority="74" operator="greaterThan">
      <formula>49</formula>
    </cfRule>
  </conditionalFormatting>
  <conditionalFormatting sqref="D68">
    <cfRule type="cellIs" dxfId="265" priority="73" operator="greaterThan">
      <formula>49</formula>
    </cfRule>
  </conditionalFormatting>
  <conditionalFormatting sqref="D69">
    <cfRule type="cellIs" dxfId="264" priority="72" operator="greaterThan">
      <formula>49</formula>
    </cfRule>
  </conditionalFormatting>
  <conditionalFormatting sqref="D70">
    <cfRule type="cellIs" dxfId="263" priority="71" operator="greaterThan">
      <formula>49</formula>
    </cfRule>
  </conditionalFormatting>
  <conditionalFormatting sqref="D71">
    <cfRule type="cellIs" dxfId="262" priority="70" operator="greaterThan">
      <formula>49</formula>
    </cfRule>
  </conditionalFormatting>
  <conditionalFormatting sqref="D72">
    <cfRule type="cellIs" dxfId="261" priority="69" operator="greaterThan">
      <formula>49</formula>
    </cfRule>
  </conditionalFormatting>
  <conditionalFormatting sqref="D73">
    <cfRule type="cellIs" dxfId="260" priority="68" operator="greaterThan">
      <formula>49</formula>
    </cfRule>
  </conditionalFormatting>
  <conditionalFormatting sqref="D74">
    <cfRule type="cellIs" dxfId="259" priority="67" operator="greaterThan">
      <formula>49</formula>
    </cfRule>
  </conditionalFormatting>
  <conditionalFormatting sqref="D75">
    <cfRule type="cellIs" dxfId="258" priority="66" operator="greaterThan">
      <formula>49</formula>
    </cfRule>
  </conditionalFormatting>
  <conditionalFormatting sqref="D76">
    <cfRule type="cellIs" dxfId="257" priority="65" operator="greaterThan">
      <formula>49</formula>
    </cfRule>
  </conditionalFormatting>
  <conditionalFormatting sqref="D77">
    <cfRule type="cellIs" dxfId="256" priority="64" operator="greaterThan">
      <formula>49</formula>
    </cfRule>
  </conditionalFormatting>
  <conditionalFormatting sqref="D78">
    <cfRule type="cellIs" dxfId="255" priority="63" operator="greaterThan">
      <formula>49</formula>
    </cfRule>
  </conditionalFormatting>
  <conditionalFormatting sqref="D79">
    <cfRule type="cellIs" dxfId="254" priority="62" operator="greaterThan">
      <formula>49</formula>
    </cfRule>
  </conditionalFormatting>
  <conditionalFormatting sqref="D80">
    <cfRule type="cellIs" dxfId="253" priority="61" operator="greaterThan">
      <formula>49</formula>
    </cfRule>
  </conditionalFormatting>
  <conditionalFormatting sqref="D81">
    <cfRule type="cellIs" dxfId="252" priority="60" operator="greaterThan">
      <formula>49</formula>
    </cfRule>
  </conditionalFormatting>
  <conditionalFormatting sqref="D82">
    <cfRule type="cellIs" dxfId="251" priority="59" operator="greaterThan">
      <formula>49</formula>
    </cfRule>
  </conditionalFormatting>
  <conditionalFormatting sqref="D83">
    <cfRule type="cellIs" dxfId="250" priority="58" operator="greaterThan">
      <formula>49</formula>
    </cfRule>
  </conditionalFormatting>
  <conditionalFormatting sqref="D84">
    <cfRule type="cellIs" dxfId="249" priority="57" operator="greaterThan">
      <formula>49</formula>
    </cfRule>
  </conditionalFormatting>
  <conditionalFormatting sqref="D85">
    <cfRule type="cellIs" dxfId="248" priority="56" operator="greaterThan">
      <formula>49</formula>
    </cfRule>
  </conditionalFormatting>
  <conditionalFormatting sqref="D86">
    <cfRule type="cellIs" dxfId="247" priority="55" operator="greaterThan">
      <formula>49</formula>
    </cfRule>
  </conditionalFormatting>
  <conditionalFormatting sqref="D87">
    <cfRule type="cellIs" dxfId="246" priority="54" operator="greaterThan">
      <formula>49</formula>
    </cfRule>
  </conditionalFormatting>
  <conditionalFormatting sqref="D88">
    <cfRule type="cellIs" dxfId="245" priority="53" operator="greaterThan">
      <formula>49</formula>
    </cfRule>
  </conditionalFormatting>
  <conditionalFormatting sqref="D89">
    <cfRule type="cellIs" dxfId="244" priority="52" operator="greaterThan">
      <formula>49</formula>
    </cfRule>
  </conditionalFormatting>
  <conditionalFormatting sqref="D90">
    <cfRule type="cellIs" dxfId="243" priority="51" operator="greaterThan">
      <formula>49</formula>
    </cfRule>
  </conditionalFormatting>
  <conditionalFormatting sqref="D91">
    <cfRule type="cellIs" dxfId="242" priority="50" operator="greaterThan">
      <formula>49</formula>
    </cfRule>
  </conditionalFormatting>
  <conditionalFormatting sqref="D92">
    <cfRule type="cellIs" dxfId="241" priority="49" operator="greaterThan">
      <formula>49</formula>
    </cfRule>
  </conditionalFormatting>
  <conditionalFormatting sqref="D93">
    <cfRule type="cellIs" dxfId="240" priority="48" operator="greaterThan">
      <formula>49</formula>
    </cfRule>
  </conditionalFormatting>
  <conditionalFormatting sqref="D94">
    <cfRule type="cellIs" dxfId="239" priority="47" operator="greaterThan">
      <formula>49</formula>
    </cfRule>
  </conditionalFormatting>
  <conditionalFormatting sqref="D95">
    <cfRule type="cellIs" dxfId="238" priority="46" operator="greaterThan">
      <formula>49</formula>
    </cfRule>
  </conditionalFormatting>
  <conditionalFormatting sqref="D96">
    <cfRule type="cellIs" dxfId="237" priority="45" operator="greaterThan">
      <formula>49</formula>
    </cfRule>
  </conditionalFormatting>
  <conditionalFormatting sqref="D97">
    <cfRule type="cellIs" dxfId="236" priority="44" operator="greaterThan">
      <formula>49</formula>
    </cfRule>
  </conditionalFormatting>
  <conditionalFormatting sqref="D98">
    <cfRule type="cellIs" dxfId="235" priority="35" operator="greaterThan">
      <formula>49</formula>
    </cfRule>
  </conditionalFormatting>
  <conditionalFormatting sqref="D99">
    <cfRule type="cellIs" dxfId="234" priority="34" operator="greaterThan">
      <formula>49</formula>
    </cfRule>
  </conditionalFormatting>
  <conditionalFormatting sqref="D100">
    <cfRule type="cellIs" dxfId="233" priority="33" operator="greaterThan">
      <formula>49</formula>
    </cfRule>
  </conditionalFormatting>
  <conditionalFormatting sqref="D101">
    <cfRule type="cellIs" dxfId="232" priority="32" operator="greaterThan">
      <formula>49</formula>
    </cfRule>
  </conditionalFormatting>
  <conditionalFormatting sqref="D102">
    <cfRule type="cellIs" dxfId="231" priority="31" operator="greaterThan">
      <formula>49</formula>
    </cfRule>
  </conditionalFormatting>
  <conditionalFormatting sqref="D122">
    <cfRule type="cellIs" dxfId="230" priority="13" operator="greaterThan">
      <formula>49</formula>
    </cfRule>
  </conditionalFormatting>
  <conditionalFormatting sqref="D104">
    <cfRule type="cellIs" dxfId="229" priority="30" operator="greaterThan">
      <formula>49</formula>
    </cfRule>
  </conditionalFormatting>
  <conditionalFormatting sqref="D103">
    <cfRule type="cellIs" dxfId="228" priority="29" operator="greaterThan">
      <formula>49</formula>
    </cfRule>
  </conditionalFormatting>
  <conditionalFormatting sqref="D105">
    <cfRule type="cellIs" dxfId="227" priority="28" operator="greaterThan">
      <formula>49</formula>
    </cfRule>
  </conditionalFormatting>
  <conditionalFormatting sqref="D106">
    <cfRule type="cellIs" dxfId="226" priority="27" operator="greaterThan">
      <formula>49</formula>
    </cfRule>
  </conditionalFormatting>
  <conditionalFormatting sqref="D107">
    <cfRule type="cellIs" dxfId="225" priority="26" operator="greaterThan">
      <formula>49</formula>
    </cfRule>
  </conditionalFormatting>
  <conditionalFormatting sqref="D108">
    <cfRule type="cellIs" dxfId="224" priority="25" operator="greaterThan">
      <formula>49</formula>
    </cfRule>
  </conditionalFormatting>
  <conditionalFormatting sqref="D109">
    <cfRule type="cellIs" dxfId="223" priority="24" operator="greaterThan">
      <formula>49</formula>
    </cfRule>
  </conditionalFormatting>
  <conditionalFormatting sqref="D110">
    <cfRule type="cellIs" dxfId="222" priority="23" operator="greaterThan">
      <formula>49</formula>
    </cfRule>
  </conditionalFormatting>
  <conditionalFormatting sqref="D111">
    <cfRule type="cellIs" dxfId="221" priority="22" operator="greaterThan">
      <formula>49</formula>
    </cfRule>
  </conditionalFormatting>
  <conditionalFormatting sqref="D112">
    <cfRule type="cellIs" dxfId="220" priority="21" operator="greaterThan">
      <formula>49</formula>
    </cfRule>
  </conditionalFormatting>
  <conditionalFormatting sqref="D114">
    <cfRule type="cellIs" dxfId="219" priority="20" operator="greaterThan">
      <formula>49</formula>
    </cfRule>
  </conditionalFormatting>
  <conditionalFormatting sqref="D115">
    <cfRule type="cellIs" dxfId="218" priority="19" operator="greaterThan">
      <formula>49</formula>
    </cfRule>
  </conditionalFormatting>
  <conditionalFormatting sqref="D116">
    <cfRule type="cellIs" dxfId="217" priority="18" operator="greaterThan">
      <formula>49</formula>
    </cfRule>
  </conditionalFormatting>
  <conditionalFormatting sqref="D117">
    <cfRule type="cellIs" dxfId="216" priority="17" operator="greaterThan">
      <formula>49</formula>
    </cfRule>
  </conditionalFormatting>
  <conditionalFormatting sqref="D118">
    <cfRule type="cellIs" dxfId="215" priority="16" operator="greaterThan">
      <formula>49</formula>
    </cfRule>
  </conditionalFormatting>
  <conditionalFormatting sqref="D119">
    <cfRule type="cellIs" dxfId="214" priority="15" operator="greaterThan">
      <formula>49</formula>
    </cfRule>
  </conditionalFormatting>
  <conditionalFormatting sqref="D120">
    <cfRule type="cellIs" dxfId="213" priority="14" operator="greaterThan">
      <formula>49</formula>
    </cfRule>
  </conditionalFormatting>
  <conditionalFormatting sqref="D123">
    <cfRule type="cellIs" dxfId="212" priority="12" operator="greaterThan">
      <formula>49</formula>
    </cfRule>
  </conditionalFormatting>
  <conditionalFormatting sqref="D121">
    <cfRule type="cellIs" dxfId="211" priority="11" operator="greaterThan">
      <formula>49</formula>
    </cfRule>
  </conditionalFormatting>
  <conditionalFormatting sqref="D124">
    <cfRule type="cellIs" dxfId="210" priority="10" operator="greaterThan">
      <formula>49</formula>
    </cfRule>
  </conditionalFormatting>
  <conditionalFormatting sqref="D125">
    <cfRule type="cellIs" dxfId="209" priority="9" operator="greaterThan">
      <formula>49</formula>
    </cfRule>
  </conditionalFormatting>
  <conditionalFormatting sqref="D126">
    <cfRule type="cellIs" dxfId="208" priority="6" operator="greaterThan">
      <formula>49</formula>
    </cfRule>
  </conditionalFormatting>
  <conditionalFormatting sqref="D46">
    <cfRule type="cellIs" dxfId="207" priority="5" operator="greaterThan">
      <formula>49</formula>
    </cfRule>
  </conditionalFormatting>
  <conditionalFormatting sqref="D47">
    <cfRule type="cellIs" dxfId="206" priority="4" operator="greaterThan">
      <formula>49</formula>
    </cfRule>
  </conditionalFormatting>
  <conditionalFormatting sqref="D48">
    <cfRule type="cellIs" dxfId="205" priority="3" operator="greaterThan">
      <formula>49</formula>
    </cfRule>
  </conditionalFormatting>
  <conditionalFormatting sqref="D49">
    <cfRule type="cellIs" dxfId="204" priority="2" operator="greaterThan">
      <formula>49</formula>
    </cfRule>
  </conditionalFormatting>
  <conditionalFormatting sqref="D113">
    <cfRule type="cellIs" dxfId="203" priority="1" operator="greaterThan">
      <formula>49</formula>
    </cfRule>
  </conditionalFormatting>
  <pageMargins left="0.7" right="0.7" top="0.91666666666666663" bottom="0.75" header="0.29166666666666669" footer="0.3"/>
  <pageSetup orientation="portrait" r:id="rId1"/>
  <headerFooter>
    <oddHeader>&amp;L&amp;"Times New Roman,Regular"Regional Municipality of Halton  
SCADA Standards Manual Section 8 Wastewater Pumping Stations
HMI Tag Template&amp;R&amp;"Times New Roman,Regular"SCADA STANDARDS 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14"/>
  <sheetViews>
    <sheetView zoomScaleNormal="100" workbookViewId="0">
      <selection activeCell="A42" sqref="A42"/>
    </sheetView>
  </sheetViews>
  <sheetFormatPr defaultRowHeight="15" x14ac:dyDescent="0.25"/>
  <cols>
    <col min="1" max="1" width="21.28515625" bestFit="1" customWidth="1"/>
    <col min="2" max="2" width="18.140625" bestFit="1" customWidth="1"/>
    <col min="3" max="3" width="34" bestFit="1" customWidth="1"/>
    <col min="4" max="4" width="5.5703125" style="4" customWidth="1"/>
    <col min="5" max="5" width="11.42578125" bestFit="1" customWidth="1"/>
    <col min="6" max="6" width="17.7109375" bestFit="1" customWidth="1"/>
    <col min="7" max="7" width="19.5703125" bestFit="1" customWidth="1"/>
    <col min="8" max="8" width="14.140625" bestFit="1" customWidth="1"/>
    <col min="9" max="9" width="23.28515625" bestFit="1" customWidth="1"/>
    <col min="10" max="10" width="18.7109375" bestFit="1" customWidth="1"/>
    <col min="11" max="12" width="18.140625" bestFit="1" customWidth="1"/>
    <col min="13" max="13" width="14.85546875" bestFit="1" customWidth="1"/>
    <col min="14" max="14" width="15.85546875" bestFit="1" customWidth="1"/>
    <col min="15" max="15" width="16.7109375" bestFit="1" customWidth="1"/>
    <col min="16" max="16" width="15.42578125" bestFit="1" customWidth="1"/>
    <col min="17" max="17" width="37.28515625" bestFit="1" customWidth="1"/>
    <col min="18" max="18" width="16.140625" bestFit="1" customWidth="1"/>
    <col min="19" max="19" width="35.5703125" bestFit="1" customWidth="1"/>
    <col min="20" max="20" width="19.140625" bestFit="1" customWidth="1"/>
    <col min="21" max="21" width="15.855468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7.7109375" bestFit="1" customWidth="1"/>
    <col min="42" max="42" width="8.140625" bestFit="1" customWidth="1"/>
    <col min="43" max="43" width="10.140625" bestFit="1" customWidth="1"/>
    <col min="44" max="44" width="11.28515625" bestFit="1" customWidth="1"/>
    <col min="45" max="45" width="15.42578125" bestFit="1" customWidth="1"/>
    <col min="46" max="46" width="30.42578125" bestFit="1" customWidth="1"/>
    <col min="47" max="47" width="8.7109375" bestFit="1" customWidth="1"/>
    <col min="48" max="48" width="28.7109375" bestFit="1" customWidth="1"/>
    <col min="49" max="49" width="14" bestFit="1" customWidth="1"/>
    <col min="50" max="50" width="15.7109375" bestFit="1" customWidth="1"/>
    <col min="51" max="51" width="13.7109375" bestFit="1" customWidth="1"/>
    <col min="52" max="52" width="13.42578125" bestFit="1" customWidth="1"/>
    <col min="53" max="53" width="15.140625" bestFit="1" customWidth="1"/>
    <col min="54" max="55" width="18.140625" bestFit="1" customWidth="1"/>
    <col min="56" max="56" width="14.855468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140625" bestFit="1" customWidth="1"/>
    <col min="61" max="62" width="19.140625" bestFit="1" customWidth="1"/>
    <col min="63" max="63" width="15.85546875" bestFit="1" customWidth="1"/>
    <col min="64" max="64" width="13.28515625" bestFit="1" customWidth="1"/>
  </cols>
  <sheetData>
    <row r="1" spans="1:23" s="198" customFormat="1" x14ac:dyDescent="0.25">
      <c r="A1" s="198" t="s">
        <v>130</v>
      </c>
      <c r="D1" s="5" t="s">
        <v>119</v>
      </c>
    </row>
    <row r="2" spans="1:23" s="219" customFormat="1" x14ac:dyDescent="0.25">
      <c r="A2" s="219" t="s">
        <v>403</v>
      </c>
      <c r="B2" s="219" t="s">
        <v>404</v>
      </c>
      <c r="C2" s="219" t="s">
        <v>405</v>
      </c>
      <c r="D2" s="4">
        <f t="shared" ref="D2:D4" si="0">LEN(C2)</f>
        <v>5</v>
      </c>
      <c r="E2" s="219" t="s">
        <v>406</v>
      </c>
      <c r="F2" s="219" t="s">
        <v>407</v>
      </c>
      <c r="G2" s="219" t="s">
        <v>408</v>
      </c>
      <c r="H2" s="219" t="s">
        <v>409</v>
      </c>
      <c r="I2" s="219" t="s">
        <v>410</v>
      </c>
      <c r="J2" s="219" t="s">
        <v>411</v>
      </c>
      <c r="K2" s="219" t="s">
        <v>412</v>
      </c>
      <c r="L2" s="219" t="s">
        <v>413</v>
      </c>
      <c r="M2" s="219" t="s">
        <v>414</v>
      </c>
      <c r="N2" s="219" t="s">
        <v>415</v>
      </c>
      <c r="O2" s="219" t="s">
        <v>416</v>
      </c>
    </row>
    <row r="3" spans="1:23" s="219" customFormat="1" x14ac:dyDescent="0.25">
      <c r="A3" s="2" t="s">
        <v>2</v>
      </c>
      <c r="B3" s="2" t="s">
        <v>418</v>
      </c>
      <c r="C3" s="2" t="s">
        <v>2</v>
      </c>
      <c r="D3" s="4">
        <f t="shared" si="0"/>
        <v>3</v>
      </c>
      <c r="E3" s="219" t="s">
        <v>0</v>
      </c>
      <c r="F3" s="219" t="s">
        <v>1</v>
      </c>
      <c r="G3" s="2" t="s">
        <v>417</v>
      </c>
      <c r="H3" s="6" t="str">
        <f>C3</f>
        <v>BXX</v>
      </c>
      <c r="I3" s="219" t="s">
        <v>0</v>
      </c>
      <c r="J3" s="219" t="s">
        <v>1</v>
      </c>
      <c r="L3" s="219">
        <v>0</v>
      </c>
      <c r="M3" s="219" t="s">
        <v>0</v>
      </c>
      <c r="N3" s="219" t="s">
        <v>0</v>
      </c>
      <c r="O3" s="219">
        <v>5</v>
      </c>
    </row>
    <row r="4" spans="1:23" s="198" customFormat="1" x14ac:dyDescent="0.25">
      <c r="A4" s="198" t="s">
        <v>3</v>
      </c>
      <c r="B4" s="198" t="s">
        <v>4</v>
      </c>
      <c r="C4" s="198" t="s">
        <v>5</v>
      </c>
      <c r="D4" s="4">
        <f t="shared" si="0"/>
        <v>7</v>
      </c>
      <c r="E4" s="198" t="s">
        <v>6</v>
      </c>
      <c r="F4" s="198" t="s">
        <v>7</v>
      </c>
      <c r="G4" s="198" t="s">
        <v>8</v>
      </c>
      <c r="H4" s="198" t="s">
        <v>9</v>
      </c>
      <c r="I4" s="198" t="s">
        <v>10</v>
      </c>
      <c r="J4" s="198" t="s">
        <v>11</v>
      </c>
      <c r="K4" s="198" t="s">
        <v>12</v>
      </c>
      <c r="L4" s="198" t="s">
        <v>13</v>
      </c>
      <c r="M4" s="198" t="s">
        <v>14</v>
      </c>
      <c r="N4" s="198" t="s">
        <v>15</v>
      </c>
      <c r="O4" s="198" t="s">
        <v>16</v>
      </c>
      <c r="P4" s="198" t="s">
        <v>17</v>
      </c>
      <c r="Q4" s="198" t="s">
        <v>18</v>
      </c>
      <c r="R4" s="198" t="s">
        <v>19</v>
      </c>
      <c r="S4" s="198" t="s">
        <v>20</v>
      </c>
      <c r="T4" s="198" t="s">
        <v>21</v>
      </c>
      <c r="U4" s="198" t="s">
        <v>22</v>
      </c>
      <c r="V4" s="198" t="s">
        <v>23</v>
      </c>
    </row>
    <row r="5" spans="1:23" s="219" customFormat="1" x14ac:dyDescent="0.25">
      <c r="A5" s="2" t="s">
        <v>2</v>
      </c>
      <c r="B5" s="2" t="s">
        <v>419</v>
      </c>
      <c r="C5" s="2" t="s">
        <v>394</v>
      </c>
      <c r="D5" s="4">
        <f>LEN(C5)</f>
        <v>7</v>
      </c>
      <c r="E5" s="219" t="s">
        <v>0</v>
      </c>
      <c r="F5" s="219">
        <v>999</v>
      </c>
      <c r="G5" s="219">
        <v>0</v>
      </c>
      <c r="H5" s="219">
        <v>0</v>
      </c>
      <c r="I5" s="219">
        <v>0</v>
      </c>
      <c r="J5" s="219">
        <v>0</v>
      </c>
      <c r="K5" s="219">
        <v>0</v>
      </c>
      <c r="L5" s="219">
        <v>0</v>
      </c>
      <c r="M5" s="219">
        <v>0</v>
      </c>
      <c r="N5" s="219">
        <v>0</v>
      </c>
    </row>
    <row r="6" spans="1:23" s="198" customFormat="1" x14ac:dyDescent="0.25">
      <c r="A6" s="2" t="s">
        <v>544</v>
      </c>
      <c r="B6" s="6" t="str">
        <f>A5</f>
        <v>BXX</v>
      </c>
      <c r="C6" s="2" t="s">
        <v>420</v>
      </c>
      <c r="D6" s="4">
        <f t="shared" ref="D6:D40" si="1">LEN(C6)</f>
        <v>21</v>
      </c>
      <c r="E6" s="198" t="s">
        <v>0</v>
      </c>
      <c r="F6" s="198">
        <v>999</v>
      </c>
      <c r="G6" s="198">
        <v>0</v>
      </c>
      <c r="H6" s="198">
        <v>0</v>
      </c>
      <c r="I6" s="198">
        <v>0</v>
      </c>
      <c r="J6" s="198">
        <v>0</v>
      </c>
      <c r="K6" s="198">
        <v>0</v>
      </c>
      <c r="L6" s="198">
        <v>0</v>
      </c>
      <c r="M6" s="198">
        <v>0</v>
      </c>
      <c r="N6" s="198">
        <v>0</v>
      </c>
    </row>
    <row r="7" spans="1:23" s="198" customFormat="1" x14ac:dyDescent="0.25">
      <c r="A7" s="198" t="s">
        <v>529</v>
      </c>
      <c r="B7" s="198" t="s">
        <v>4</v>
      </c>
      <c r="C7" s="198" t="s">
        <v>5</v>
      </c>
      <c r="D7" s="4">
        <f t="shared" si="1"/>
        <v>7</v>
      </c>
      <c r="E7" s="198" t="s">
        <v>30</v>
      </c>
      <c r="F7" s="198" t="s">
        <v>6</v>
      </c>
      <c r="G7" s="198" t="s">
        <v>7</v>
      </c>
      <c r="H7" s="198" t="s">
        <v>31</v>
      </c>
      <c r="I7" s="198" t="s">
        <v>32</v>
      </c>
      <c r="J7" s="198" t="s">
        <v>33</v>
      </c>
      <c r="K7" s="198" t="s">
        <v>34</v>
      </c>
      <c r="L7" s="198" t="s">
        <v>35</v>
      </c>
      <c r="M7" s="198" t="s">
        <v>36</v>
      </c>
      <c r="N7" s="198" t="s">
        <v>44</v>
      </c>
      <c r="O7" s="198" t="s">
        <v>45</v>
      </c>
      <c r="P7" s="198" t="s">
        <v>46</v>
      </c>
      <c r="Q7" s="198" t="s">
        <v>47</v>
      </c>
      <c r="R7" s="198" t="s">
        <v>48</v>
      </c>
      <c r="S7" s="198" t="s">
        <v>37</v>
      </c>
      <c r="T7" s="198" t="s">
        <v>38</v>
      </c>
      <c r="U7" s="198" t="s">
        <v>15</v>
      </c>
      <c r="V7" s="198" t="s">
        <v>23</v>
      </c>
      <c r="W7" s="198" t="s">
        <v>39</v>
      </c>
    </row>
    <row r="8" spans="1:23" x14ac:dyDescent="0.25">
      <c r="A8" s="6" t="str">
        <f>$A$6&amp;"_"&amp;"KS1_DI_PM"</f>
        <v>BXX_PLC1_KS1_DI_PM</v>
      </c>
      <c r="B8" s="6" t="str">
        <f>$A$6</f>
        <v>BXX_PLC1</v>
      </c>
      <c r="C8" s="6" t="str">
        <f>$A$5&amp; " Key Program Mode Status"</f>
        <v>BXX Key Program Mode Status</v>
      </c>
      <c r="D8" s="4">
        <f t="shared" si="1"/>
        <v>27</v>
      </c>
      <c r="E8" s="200" t="s">
        <v>1</v>
      </c>
      <c r="F8" s="200" t="s">
        <v>0</v>
      </c>
      <c r="G8" s="2">
        <v>900</v>
      </c>
      <c r="H8" s="200" t="s">
        <v>0</v>
      </c>
      <c r="I8" s="200" t="s">
        <v>40</v>
      </c>
      <c r="J8" s="220" t="s">
        <v>40</v>
      </c>
      <c r="K8" s="220" t="s">
        <v>395</v>
      </c>
      <c r="L8" s="200" t="s">
        <v>41</v>
      </c>
      <c r="M8" s="200">
        <v>1</v>
      </c>
      <c r="N8" s="200" t="s">
        <v>49</v>
      </c>
      <c r="O8" s="6" t="str">
        <f>$A$3</f>
        <v>BXX</v>
      </c>
      <c r="P8" s="200" t="s">
        <v>1</v>
      </c>
      <c r="Q8" s="6" t="str">
        <f>$A$6&amp;"."&amp;"KEY_PROGRAM"</f>
        <v>BXX_PLC1.KEY_PROGRAM</v>
      </c>
      <c r="R8" s="200" t="s">
        <v>1</v>
      </c>
      <c r="S8" s="6" t="str">
        <f>C8</f>
        <v>BXX Key Program Mode Status</v>
      </c>
      <c r="T8" s="200">
        <v>0</v>
      </c>
      <c r="U8" s="200">
        <v>0</v>
      </c>
      <c r="V8" s="199"/>
      <c r="W8" s="199"/>
    </row>
    <row r="9" spans="1:23" x14ac:dyDescent="0.25">
      <c r="A9" s="6" t="str">
        <f>$A$6&amp;"_"&amp;"KS1_DI_RM"</f>
        <v>BXX_PLC1_KS1_DI_RM</v>
      </c>
      <c r="B9" s="6" t="str">
        <f t="shared" ref="B9:B24" si="2">$A$6</f>
        <v>BXX_PLC1</v>
      </c>
      <c r="C9" s="6" t="str">
        <f>$A$5&amp; " Key Run Mode Status"</f>
        <v>BXX Key Run Mode Status</v>
      </c>
      <c r="D9" s="4">
        <f t="shared" si="1"/>
        <v>23</v>
      </c>
      <c r="E9" s="202" t="s">
        <v>1</v>
      </c>
      <c r="F9" s="202" t="s">
        <v>0</v>
      </c>
      <c r="G9" s="2">
        <v>900</v>
      </c>
      <c r="H9" s="220" t="s">
        <v>0</v>
      </c>
      <c r="I9" s="202" t="s">
        <v>40</v>
      </c>
      <c r="J9" s="220" t="s">
        <v>40</v>
      </c>
      <c r="K9" s="202" t="s">
        <v>396</v>
      </c>
      <c r="L9" s="202" t="s">
        <v>41</v>
      </c>
      <c r="M9" s="202">
        <v>1</v>
      </c>
      <c r="N9" s="202" t="s">
        <v>49</v>
      </c>
      <c r="O9" s="6" t="str">
        <f t="shared" ref="O9:O24" si="3">$A$3</f>
        <v>BXX</v>
      </c>
      <c r="P9" s="202" t="s">
        <v>1</v>
      </c>
      <c r="Q9" s="6" t="str">
        <f>$A$6&amp;"."&amp;"KEY_RUN"</f>
        <v>BXX_PLC1.KEY_RUN</v>
      </c>
      <c r="R9" s="202" t="s">
        <v>1</v>
      </c>
      <c r="S9" s="6" t="str">
        <f t="shared" ref="S9:S24" si="4">C9</f>
        <v>BXX Key Run Mode Status</v>
      </c>
      <c r="T9" s="202">
        <v>0</v>
      </c>
      <c r="U9" s="202">
        <v>0</v>
      </c>
      <c r="V9" s="201"/>
      <c r="W9" s="201"/>
    </row>
    <row r="10" spans="1:23" x14ac:dyDescent="0.25">
      <c r="A10" s="6" t="str">
        <f>$A$6&amp;"_"&amp;"F91_DA_EN"</f>
        <v>BXX_PLC1_F91_DA_EN</v>
      </c>
      <c r="B10" s="6" t="str">
        <f t="shared" si="2"/>
        <v>BXX_PLC1</v>
      </c>
      <c r="C10" s="6" t="str">
        <f>$A$5&amp; " Forces Enabled"</f>
        <v>BXX Forces Enabled</v>
      </c>
      <c r="D10" s="4">
        <f t="shared" si="1"/>
        <v>18</v>
      </c>
      <c r="E10" s="203" t="s">
        <v>1</v>
      </c>
      <c r="F10" s="203" t="s">
        <v>0</v>
      </c>
      <c r="G10" s="2">
        <v>900</v>
      </c>
      <c r="H10" s="220" t="s">
        <v>0</v>
      </c>
      <c r="I10" s="203" t="s">
        <v>40</v>
      </c>
      <c r="J10" s="220" t="s">
        <v>53</v>
      </c>
      <c r="K10" s="203" t="s">
        <v>52</v>
      </c>
      <c r="L10" s="203" t="s">
        <v>42</v>
      </c>
      <c r="M10" s="2">
        <v>10</v>
      </c>
      <c r="N10" s="203" t="s">
        <v>49</v>
      </c>
      <c r="O10" s="6" t="str">
        <f t="shared" si="3"/>
        <v>BXX</v>
      </c>
      <c r="P10" s="203" t="s">
        <v>1</v>
      </c>
      <c r="Q10" s="6" t="str">
        <f>$A$6&amp;"."&amp;"FORCES_ENABLED"</f>
        <v>BXX_PLC1.FORCES_ENABLED</v>
      </c>
      <c r="R10" s="203" t="s">
        <v>1</v>
      </c>
      <c r="S10" s="6" t="str">
        <f t="shared" si="4"/>
        <v>BXX Forces Enabled</v>
      </c>
      <c r="T10" s="203">
        <v>0</v>
      </c>
      <c r="U10" s="203">
        <v>0</v>
      </c>
    </row>
    <row r="11" spans="1:23" x14ac:dyDescent="0.25">
      <c r="A11" s="6" t="str">
        <f>$A$6&amp;"_"&amp;"F61_DA_SS"</f>
        <v>BXX_PLC1_F61_DA_SS</v>
      </c>
      <c r="B11" s="6" t="str">
        <f t="shared" si="2"/>
        <v>BXX_PLC1</v>
      </c>
      <c r="C11" s="6" t="str">
        <f>$A$5&amp; " Minor Fault IO Alarm"</f>
        <v>BXX Minor Fault IO Alarm</v>
      </c>
      <c r="D11" s="4">
        <f t="shared" si="1"/>
        <v>24</v>
      </c>
      <c r="E11" s="203" t="s">
        <v>1</v>
      </c>
      <c r="F11" s="203" t="s">
        <v>1</v>
      </c>
      <c r="G11" s="203">
        <v>0</v>
      </c>
      <c r="H11" s="220" t="s">
        <v>0</v>
      </c>
      <c r="I11" s="203" t="s">
        <v>40</v>
      </c>
      <c r="J11" s="220" t="s">
        <v>50</v>
      </c>
      <c r="K11" s="203" t="s">
        <v>422</v>
      </c>
      <c r="L11" s="203" t="s">
        <v>42</v>
      </c>
      <c r="M11" s="2">
        <v>10</v>
      </c>
      <c r="N11" s="203" t="s">
        <v>49</v>
      </c>
      <c r="O11" s="6" t="str">
        <f t="shared" si="3"/>
        <v>BXX</v>
      </c>
      <c r="P11" s="203" t="s">
        <v>1</v>
      </c>
      <c r="Q11" s="6" t="str">
        <f>$A$6&amp;"."&amp;"MINORFAULT_IO"</f>
        <v>BXX_PLC1.MINORFAULT_IO</v>
      </c>
      <c r="R11" s="203" t="s">
        <v>1</v>
      </c>
      <c r="S11" s="6" t="str">
        <f t="shared" si="4"/>
        <v>BXX Minor Fault IO Alarm</v>
      </c>
      <c r="T11" s="203">
        <v>2</v>
      </c>
      <c r="U11" s="203">
        <v>0</v>
      </c>
    </row>
    <row r="12" spans="1:23" x14ac:dyDescent="0.25">
      <c r="A12" s="6" t="str">
        <f>$A$6&amp;"_"&amp;"F71_DA_SS"</f>
        <v>BXX_PLC1_F71_DA_SS</v>
      </c>
      <c r="B12" s="6" t="str">
        <f t="shared" si="2"/>
        <v>BXX_PLC1</v>
      </c>
      <c r="C12" s="6" t="str">
        <f>$A$5&amp; " Forces Present"</f>
        <v>BXX Forces Present</v>
      </c>
      <c r="D12" s="4">
        <f t="shared" si="1"/>
        <v>18</v>
      </c>
      <c r="E12" s="203" t="s">
        <v>1</v>
      </c>
      <c r="F12" s="203" t="s">
        <v>1</v>
      </c>
      <c r="G12" s="203">
        <v>0</v>
      </c>
      <c r="H12" s="220" t="s">
        <v>0</v>
      </c>
      <c r="I12" s="203" t="s">
        <v>40</v>
      </c>
      <c r="J12" s="220" t="s">
        <v>53</v>
      </c>
      <c r="K12" s="203" t="s">
        <v>423</v>
      </c>
      <c r="L12" s="203" t="s">
        <v>42</v>
      </c>
      <c r="M12" s="2">
        <v>275</v>
      </c>
      <c r="N12" s="203" t="s">
        <v>49</v>
      </c>
      <c r="O12" s="6" t="str">
        <f t="shared" si="3"/>
        <v>BXX</v>
      </c>
      <c r="P12" s="203" t="s">
        <v>1</v>
      </c>
      <c r="Q12" s="6" t="str">
        <f>$A$6&amp;"."&amp;"FORCES_PRESENT"</f>
        <v>BXX_PLC1.FORCES_PRESENT</v>
      </c>
      <c r="R12" s="203" t="s">
        <v>1</v>
      </c>
      <c r="S12" s="6" t="str">
        <f t="shared" si="4"/>
        <v>BXX Forces Present</v>
      </c>
      <c r="T12" s="203">
        <v>0</v>
      </c>
      <c r="U12" s="203">
        <v>0</v>
      </c>
    </row>
    <row r="13" spans="1:23" x14ac:dyDescent="0.25">
      <c r="A13" s="6" t="str">
        <f>$A$6&amp;"_"&amp;"F31_DA_SS"</f>
        <v>BXX_PLC1_F31_DA_SS</v>
      </c>
      <c r="B13" s="6" t="str">
        <f t="shared" si="2"/>
        <v>BXX_PLC1</v>
      </c>
      <c r="C13" s="6" t="str">
        <f>$A$5&amp; " Major Fault Watchdog Alarm"</f>
        <v>BXX Major Fault Watchdog Alarm</v>
      </c>
      <c r="D13" s="4">
        <f t="shared" si="1"/>
        <v>30</v>
      </c>
      <c r="E13" s="203" t="s">
        <v>1</v>
      </c>
      <c r="F13" s="203" t="s">
        <v>1</v>
      </c>
      <c r="G13" s="203">
        <v>0</v>
      </c>
      <c r="H13" s="220" t="s">
        <v>0</v>
      </c>
      <c r="I13" s="203" t="s">
        <v>40</v>
      </c>
      <c r="J13" s="220" t="s">
        <v>50</v>
      </c>
      <c r="K13" s="203" t="s">
        <v>422</v>
      </c>
      <c r="L13" s="203" t="s">
        <v>42</v>
      </c>
      <c r="M13" s="2">
        <v>10</v>
      </c>
      <c r="N13" s="203" t="s">
        <v>49</v>
      </c>
      <c r="O13" s="6" t="str">
        <f t="shared" si="3"/>
        <v>BXX</v>
      </c>
      <c r="P13" s="203" t="s">
        <v>1</v>
      </c>
      <c r="Q13" s="6" t="str">
        <f>$A$6&amp;"."&amp;"MAJORFAULT_WATCHDOG"</f>
        <v>BXX_PLC1.MAJORFAULT_WATCHDOG</v>
      </c>
      <c r="R13" s="203" t="s">
        <v>1</v>
      </c>
      <c r="S13" s="6" t="str">
        <f t="shared" si="4"/>
        <v>BXX Major Fault Watchdog Alarm</v>
      </c>
      <c r="T13" s="203">
        <v>2</v>
      </c>
      <c r="U13" s="203">
        <v>0</v>
      </c>
    </row>
    <row r="14" spans="1:23" x14ac:dyDescent="0.25">
      <c r="A14" s="6" t="str">
        <f>$A$6&amp;"_"&amp;"JI1_DA_BT"</f>
        <v>BXX_PLC1_JI1_DA_BT</v>
      </c>
      <c r="B14" s="6" t="str">
        <f t="shared" si="2"/>
        <v>BXX_PLC1</v>
      </c>
      <c r="C14" s="6" t="str">
        <f>$A$5&amp; " Minor Fault Battery Alarm"</f>
        <v>BXX Minor Fault Battery Alarm</v>
      </c>
      <c r="D14" s="4">
        <f t="shared" si="1"/>
        <v>29</v>
      </c>
      <c r="E14" s="203" t="s">
        <v>1</v>
      </c>
      <c r="F14" s="203" t="s">
        <v>1</v>
      </c>
      <c r="G14" s="203">
        <v>0</v>
      </c>
      <c r="H14" s="220" t="s">
        <v>0</v>
      </c>
      <c r="I14" s="203" t="s">
        <v>40</v>
      </c>
      <c r="J14" s="220" t="s">
        <v>50</v>
      </c>
      <c r="K14" s="220" t="s">
        <v>422</v>
      </c>
      <c r="L14" s="203" t="s">
        <v>42</v>
      </c>
      <c r="M14" s="2">
        <v>10</v>
      </c>
      <c r="N14" s="203" t="s">
        <v>49</v>
      </c>
      <c r="O14" s="6" t="str">
        <f t="shared" si="3"/>
        <v>BXX</v>
      </c>
      <c r="P14" s="203" t="s">
        <v>1</v>
      </c>
      <c r="Q14" s="6" t="str">
        <f>$A$6&amp;"."&amp;"MINORFAULT_BATTERY_LOW"</f>
        <v>BXX_PLC1.MINORFAULT_BATTERY_LOW</v>
      </c>
      <c r="R14" s="203" t="s">
        <v>1</v>
      </c>
      <c r="S14" s="6" t="str">
        <f t="shared" si="4"/>
        <v>BXX Minor Fault Battery Alarm</v>
      </c>
      <c r="T14" s="203">
        <v>2</v>
      </c>
      <c r="U14" s="203">
        <v>0</v>
      </c>
    </row>
    <row r="15" spans="1:23" x14ac:dyDescent="0.25">
      <c r="A15" s="6" t="str">
        <f>$A$6&amp;"_"&amp;"F21_DA_SS"</f>
        <v>BXX_PLC1_F21_DA_SS</v>
      </c>
      <c r="B15" s="6" t="str">
        <f t="shared" si="2"/>
        <v>BXX_PLC1</v>
      </c>
      <c r="C15" s="6" t="str">
        <f>$A$5&amp; " Major Fault Startup Alarm"</f>
        <v>BXX Major Fault Startup Alarm</v>
      </c>
      <c r="D15" s="4">
        <f t="shared" si="1"/>
        <v>29</v>
      </c>
      <c r="E15" s="204" t="s">
        <v>1</v>
      </c>
      <c r="F15" s="204" t="s">
        <v>1</v>
      </c>
      <c r="G15" s="204">
        <v>0</v>
      </c>
      <c r="H15" s="220" t="s">
        <v>0</v>
      </c>
      <c r="I15" s="204" t="s">
        <v>40</v>
      </c>
      <c r="J15" s="220" t="s">
        <v>50</v>
      </c>
      <c r="K15" s="220" t="s">
        <v>422</v>
      </c>
      <c r="L15" s="204" t="s">
        <v>42</v>
      </c>
      <c r="M15" s="2">
        <v>10</v>
      </c>
      <c r="N15" s="204" t="s">
        <v>49</v>
      </c>
      <c r="O15" s="6" t="str">
        <f t="shared" si="3"/>
        <v>BXX</v>
      </c>
      <c r="P15" s="204" t="s">
        <v>1</v>
      </c>
      <c r="Q15" s="6" t="str">
        <f>$A$6&amp;"."&amp;"MAJORFAULT_STARTUP"</f>
        <v>BXX_PLC1.MAJORFAULT_STARTUP</v>
      </c>
      <c r="R15" s="204" t="s">
        <v>1</v>
      </c>
      <c r="S15" s="6" t="str">
        <f t="shared" si="4"/>
        <v>BXX Major Fault Startup Alarm</v>
      </c>
      <c r="T15" s="204">
        <v>2</v>
      </c>
      <c r="U15" s="204">
        <v>0</v>
      </c>
    </row>
    <row r="16" spans="1:23" x14ac:dyDescent="0.25">
      <c r="A16" s="6" t="str">
        <f>$A$6&amp;"_"&amp;"F81_DI_SS"</f>
        <v>BXX_PLC1_F81_DI_SS</v>
      </c>
      <c r="B16" s="6" t="str">
        <f t="shared" si="2"/>
        <v>BXX_PLC1</v>
      </c>
      <c r="C16" s="6" t="str">
        <f>$A$5&amp; " Minor Faults"</f>
        <v>BXX Minor Faults</v>
      </c>
      <c r="D16" s="4">
        <f t="shared" si="1"/>
        <v>16</v>
      </c>
      <c r="E16" s="205" t="s">
        <v>1</v>
      </c>
      <c r="F16" s="205" t="s">
        <v>0</v>
      </c>
      <c r="G16" s="2">
        <v>900</v>
      </c>
      <c r="H16" s="220" t="s">
        <v>0</v>
      </c>
      <c r="I16" s="205" t="s">
        <v>40</v>
      </c>
      <c r="J16" s="220" t="s">
        <v>50</v>
      </c>
      <c r="K16" s="220" t="s">
        <v>422</v>
      </c>
      <c r="L16" s="205" t="s">
        <v>41</v>
      </c>
      <c r="M16" s="205">
        <v>1</v>
      </c>
      <c r="N16" s="205" t="s">
        <v>49</v>
      </c>
      <c r="O16" s="6" t="str">
        <f t="shared" si="3"/>
        <v>BXX</v>
      </c>
      <c r="P16" s="205" t="s">
        <v>1</v>
      </c>
      <c r="Q16" s="6" t="str">
        <f>$A$6&amp;"."&amp;"MINOR_FAULT_PROGRAM"</f>
        <v>BXX_PLC1.MINOR_FAULT_PROGRAM</v>
      </c>
      <c r="R16" s="205" t="s">
        <v>1</v>
      </c>
      <c r="S16" s="6" t="str">
        <f t="shared" si="4"/>
        <v>BXX Minor Faults</v>
      </c>
      <c r="T16" s="205">
        <v>0</v>
      </c>
      <c r="U16" s="205">
        <v>0</v>
      </c>
    </row>
    <row r="17" spans="1:64" x14ac:dyDescent="0.25">
      <c r="A17" s="6" t="str">
        <f>$A$6&amp;"_"&amp;"CK1_PB_SU"</f>
        <v>BXX_PLC1_CK1_PB_SU</v>
      </c>
      <c r="B17" s="6" t="str">
        <f>$A$5</f>
        <v>BXX</v>
      </c>
      <c r="C17" s="6" t="str">
        <f>$A$5&amp; " Set PLC Date/Time"</f>
        <v>BXX Set PLC Date/Time</v>
      </c>
      <c r="D17" s="4">
        <f t="shared" si="1"/>
        <v>21</v>
      </c>
      <c r="E17" s="207" t="s">
        <v>1</v>
      </c>
      <c r="F17" s="207" t="s">
        <v>0</v>
      </c>
      <c r="G17" s="2">
        <v>900</v>
      </c>
      <c r="H17" s="220" t="s">
        <v>0</v>
      </c>
      <c r="I17" s="207" t="s">
        <v>40</v>
      </c>
      <c r="J17" s="220" t="s">
        <v>40</v>
      </c>
      <c r="K17" s="220" t="s">
        <v>42</v>
      </c>
      <c r="L17" s="207" t="s">
        <v>41</v>
      </c>
      <c r="M17" s="207">
        <v>1</v>
      </c>
      <c r="N17" s="207" t="s">
        <v>49</v>
      </c>
      <c r="O17" s="6" t="str">
        <f t="shared" si="3"/>
        <v>BXX</v>
      </c>
      <c r="P17" s="207" t="s">
        <v>1</v>
      </c>
      <c r="Q17" s="6" t="str">
        <f>$A$6&amp;"."&amp;"DO_SU"</f>
        <v>BXX_PLC1.DO_SU</v>
      </c>
      <c r="R17" s="207" t="s">
        <v>1</v>
      </c>
      <c r="S17" s="6" t="str">
        <f t="shared" si="4"/>
        <v>BXX Set PLC Date/Time</v>
      </c>
      <c r="T17" s="207">
        <v>0</v>
      </c>
      <c r="U17" s="207">
        <v>0</v>
      </c>
    </row>
    <row r="18" spans="1:64" x14ac:dyDescent="0.25">
      <c r="A18" s="6" t="str">
        <f>$A$6&amp;"_"&amp;"001_DI_TM"</f>
        <v>BXX_PLC1_001_DI_TM</v>
      </c>
      <c r="B18" s="6" t="str">
        <f t="shared" si="2"/>
        <v>BXX_PLC1</v>
      </c>
      <c r="C18" s="6" t="str">
        <f>$A$5&amp; " Controller Test Mode Status"</f>
        <v>BXX Controller Test Mode Status</v>
      </c>
      <c r="D18" s="4">
        <f t="shared" si="1"/>
        <v>31</v>
      </c>
      <c r="E18" s="207" t="s">
        <v>1</v>
      </c>
      <c r="F18" s="207" t="s">
        <v>0</v>
      </c>
      <c r="G18" s="2">
        <v>900</v>
      </c>
      <c r="H18" s="220" t="s">
        <v>0</v>
      </c>
      <c r="I18" s="207" t="s">
        <v>40</v>
      </c>
      <c r="J18" s="220" t="s">
        <v>40</v>
      </c>
      <c r="K18" s="206" t="s">
        <v>421</v>
      </c>
      <c r="L18" s="207" t="s">
        <v>41</v>
      </c>
      <c r="M18" s="207">
        <v>1</v>
      </c>
      <c r="N18" s="207" t="s">
        <v>49</v>
      </c>
      <c r="O18" s="6" t="str">
        <f t="shared" si="3"/>
        <v>BXX</v>
      </c>
      <c r="P18" s="207" t="s">
        <v>1</v>
      </c>
      <c r="Q18" s="6" t="str">
        <f>$A$6&amp;"."&amp;"CONTROLLER_TEST"</f>
        <v>BXX_PLC1.CONTROLLER_TEST</v>
      </c>
      <c r="R18" s="207" t="s">
        <v>1</v>
      </c>
      <c r="S18" s="6" t="str">
        <f t="shared" si="4"/>
        <v>BXX Controller Test Mode Status</v>
      </c>
      <c r="T18" s="207">
        <v>0</v>
      </c>
      <c r="U18" s="207">
        <v>0</v>
      </c>
    </row>
    <row r="19" spans="1:64" x14ac:dyDescent="0.25">
      <c r="A19" s="6" t="str">
        <f>$A$6&amp;"_"&amp;"001_DI_RE"</f>
        <v>BXX_PLC1_001_DI_RE</v>
      </c>
      <c r="B19" s="6" t="str">
        <f t="shared" si="2"/>
        <v>BXX_PLC1</v>
      </c>
      <c r="C19" s="6" t="str">
        <f>$A$5&amp; " Run mode status"</f>
        <v>BXX Run mode status</v>
      </c>
      <c r="D19" s="4">
        <f t="shared" si="1"/>
        <v>19</v>
      </c>
      <c r="E19" s="207" t="s">
        <v>1</v>
      </c>
      <c r="F19" s="207" t="s">
        <v>0</v>
      </c>
      <c r="G19" s="2">
        <v>900</v>
      </c>
      <c r="H19" s="220" t="s">
        <v>0</v>
      </c>
      <c r="I19" s="207" t="s">
        <v>40</v>
      </c>
      <c r="J19" s="220" t="s">
        <v>40</v>
      </c>
      <c r="K19" s="206" t="s">
        <v>396</v>
      </c>
      <c r="L19" s="207" t="s">
        <v>41</v>
      </c>
      <c r="M19" s="207">
        <v>1</v>
      </c>
      <c r="N19" s="207" t="s">
        <v>49</v>
      </c>
      <c r="O19" s="6" t="str">
        <f t="shared" si="3"/>
        <v>BXX</v>
      </c>
      <c r="P19" s="207" t="s">
        <v>1</v>
      </c>
      <c r="Q19" s="6" t="str">
        <f>$A$6&amp;"."&amp;"CONTROLLER_RUN"</f>
        <v>BXX_PLC1.CONTROLLER_RUN</v>
      </c>
      <c r="R19" s="207" t="s">
        <v>1</v>
      </c>
      <c r="S19" s="6" t="str">
        <f t="shared" si="4"/>
        <v>BXX Run mode status</v>
      </c>
      <c r="T19" s="207">
        <v>0</v>
      </c>
      <c r="U19" s="207">
        <v>0</v>
      </c>
    </row>
    <row r="20" spans="1:64" x14ac:dyDescent="0.25">
      <c r="A20" s="6" t="str">
        <f>$A$6&amp;"_"&amp;"KS1_DI_RE"</f>
        <v>BXX_PLC1_KS1_DI_RE</v>
      </c>
      <c r="B20" s="6" t="str">
        <f t="shared" si="2"/>
        <v>BXX_PLC1</v>
      </c>
      <c r="C20" s="6" t="str">
        <f>$A$5&amp; " Key Remote Mode Status"</f>
        <v>BXX Key Remote Mode Status</v>
      </c>
      <c r="D20" s="4">
        <f t="shared" si="1"/>
        <v>26</v>
      </c>
      <c r="E20" s="208" t="s">
        <v>1</v>
      </c>
      <c r="F20" s="208" t="s">
        <v>0</v>
      </c>
      <c r="G20" s="2">
        <v>900</v>
      </c>
      <c r="H20" s="220" t="s">
        <v>0</v>
      </c>
      <c r="I20" s="208" t="s">
        <v>40</v>
      </c>
      <c r="J20" s="220" t="s">
        <v>40</v>
      </c>
      <c r="K20" s="208" t="s">
        <v>24</v>
      </c>
      <c r="L20" s="208" t="s">
        <v>41</v>
      </c>
      <c r="M20" s="208">
        <v>1</v>
      </c>
      <c r="N20" s="208" t="s">
        <v>49</v>
      </c>
      <c r="O20" s="6" t="str">
        <f t="shared" si="3"/>
        <v>BXX</v>
      </c>
      <c r="P20" s="208" t="s">
        <v>1</v>
      </c>
      <c r="Q20" s="6" t="str">
        <f>$A$6&amp;"."&amp;"KEY_REMOTE"</f>
        <v>BXX_PLC1.KEY_REMOTE</v>
      </c>
      <c r="R20" s="208" t="s">
        <v>1</v>
      </c>
      <c r="S20" s="6" t="str">
        <f t="shared" si="4"/>
        <v>BXX Key Remote Mode Status</v>
      </c>
      <c r="T20" s="208">
        <v>0</v>
      </c>
      <c r="U20" s="208">
        <v>0</v>
      </c>
    </row>
    <row r="21" spans="1:64" x14ac:dyDescent="0.25">
      <c r="A21" s="6" t="str">
        <f>$A$6&amp;"_"&amp;"001_DI_CN"</f>
        <v>BXX_PLC1_001_DI_CN</v>
      </c>
      <c r="B21" s="6" t="str">
        <f>$A$5</f>
        <v>BXX</v>
      </c>
      <c r="C21" s="6" t="str">
        <f>$A$5&amp;"-HMI Communication Status"</f>
        <v>BXX-HMI Communication Status</v>
      </c>
      <c r="D21" s="4">
        <f t="shared" si="1"/>
        <v>28</v>
      </c>
      <c r="E21" s="209" t="s">
        <v>1</v>
      </c>
      <c r="F21" s="209" t="s">
        <v>1</v>
      </c>
      <c r="G21" s="209">
        <v>0</v>
      </c>
      <c r="H21" s="220" t="s">
        <v>0</v>
      </c>
      <c r="I21" s="209" t="s">
        <v>42</v>
      </c>
      <c r="J21" s="220" t="s">
        <v>397</v>
      </c>
      <c r="K21" s="209" t="s">
        <v>54</v>
      </c>
      <c r="L21" s="209" t="s">
        <v>41</v>
      </c>
      <c r="M21" s="209">
        <v>1</v>
      </c>
      <c r="N21" s="209" t="s">
        <v>49</v>
      </c>
      <c r="O21" s="6" t="str">
        <f t="shared" si="3"/>
        <v>BXX</v>
      </c>
      <c r="P21" s="209" t="s">
        <v>1</v>
      </c>
      <c r="Q21" s="209" t="s">
        <v>398</v>
      </c>
      <c r="R21" s="209" t="s">
        <v>1</v>
      </c>
      <c r="S21" s="6" t="str">
        <f t="shared" si="4"/>
        <v>BXX-HMI Communication Status</v>
      </c>
      <c r="T21" s="209">
        <v>0</v>
      </c>
      <c r="U21" s="209">
        <v>0</v>
      </c>
    </row>
    <row r="22" spans="1:64" s="219" customFormat="1" x14ac:dyDescent="0.25">
      <c r="A22" s="6" t="str">
        <f>$A$6&amp;"_"&amp;"001_DA_CN"</f>
        <v>BXX_PLC1_001_DA_CN</v>
      </c>
      <c r="B22" s="6" t="str">
        <f t="shared" si="2"/>
        <v>BXX_PLC1</v>
      </c>
      <c r="C22" s="6" t="str">
        <f>$A$5 &amp; " Polling Status Down"</f>
        <v>BXX Polling Status Down</v>
      </c>
      <c r="D22" s="4">
        <f t="shared" si="1"/>
        <v>23</v>
      </c>
      <c r="E22" s="220" t="s">
        <v>1</v>
      </c>
      <c r="F22" s="220" t="s">
        <v>1</v>
      </c>
      <c r="G22" s="220">
        <v>0</v>
      </c>
      <c r="H22" s="220" t="s">
        <v>0</v>
      </c>
      <c r="I22" s="220" t="s">
        <v>42</v>
      </c>
      <c r="J22" s="220" t="s">
        <v>397</v>
      </c>
      <c r="K22" s="220" t="s">
        <v>54</v>
      </c>
      <c r="L22" s="220" t="s">
        <v>40</v>
      </c>
      <c r="M22" s="2">
        <v>90</v>
      </c>
      <c r="N22" s="220" t="s">
        <v>49</v>
      </c>
      <c r="O22" s="2" t="s">
        <v>124</v>
      </c>
      <c r="P22" s="220" t="s">
        <v>0</v>
      </c>
      <c r="Q22" s="6" t="str">
        <f>A22</f>
        <v>BXX_PLC1_001_DA_CN</v>
      </c>
      <c r="R22" s="220" t="s">
        <v>1</v>
      </c>
      <c r="S22" s="6" t="str">
        <f t="shared" si="4"/>
        <v>BXX Polling Status Down</v>
      </c>
      <c r="T22" s="220">
        <v>0</v>
      </c>
      <c r="U22" s="220">
        <v>0</v>
      </c>
    </row>
    <row r="23" spans="1:64" x14ac:dyDescent="0.25">
      <c r="A23" s="6" t="str">
        <f>$A$6&amp;"_"&amp;"001_DA_FL"</f>
        <v>BXX_PLC1_001_DA_FL</v>
      </c>
      <c r="B23" s="6" t="str">
        <f t="shared" si="2"/>
        <v>BXX_PLC1</v>
      </c>
      <c r="C23" s="6" t="str">
        <f>$A$5 &amp; " Controller Faulted Status"</f>
        <v>BXX Controller Faulted Status</v>
      </c>
      <c r="D23" s="4">
        <f t="shared" si="1"/>
        <v>29</v>
      </c>
      <c r="E23" s="210" t="s">
        <v>1</v>
      </c>
      <c r="F23" s="210" t="s">
        <v>1</v>
      </c>
      <c r="G23" s="210">
        <v>0</v>
      </c>
      <c r="H23" s="220" t="s">
        <v>0</v>
      </c>
      <c r="I23" s="210" t="s">
        <v>40</v>
      </c>
      <c r="J23" s="220" t="s">
        <v>50</v>
      </c>
      <c r="K23" s="220" t="s">
        <v>422</v>
      </c>
      <c r="L23" s="210" t="s">
        <v>42</v>
      </c>
      <c r="M23" s="2">
        <v>1</v>
      </c>
      <c r="N23" s="210" t="s">
        <v>49</v>
      </c>
      <c r="O23" s="6" t="str">
        <f t="shared" si="3"/>
        <v>BXX</v>
      </c>
      <c r="P23" s="210" t="s">
        <v>1</v>
      </c>
      <c r="Q23" s="6" t="str">
        <f>$A$6&amp;"."&amp;"CONTROLLER_FAULTED"</f>
        <v>BXX_PLC1.CONTROLLER_FAULTED</v>
      </c>
      <c r="R23" s="210" t="s">
        <v>1</v>
      </c>
      <c r="S23" s="6" t="str">
        <f t="shared" si="4"/>
        <v>BXX Controller Faulted Status</v>
      </c>
      <c r="T23" s="210">
        <v>0</v>
      </c>
      <c r="U23" s="210">
        <v>0</v>
      </c>
    </row>
    <row r="24" spans="1:64" x14ac:dyDescent="0.25">
      <c r="A24" s="6" t="str">
        <f>$A$6&amp;"_"&amp;"001_DI_PM"</f>
        <v>BXX_PLC1_001_DI_PM</v>
      </c>
      <c r="B24" s="6" t="str">
        <f t="shared" si="2"/>
        <v>BXX_PLC1</v>
      </c>
      <c r="C24" s="6" t="str">
        <f>$A$5 &amp; " Controller Program Mode Status"</f>
        <v>BXX Controller Program Mode Status</v>
      </c>
      <c r="D24" s="4">
        <f t="shared" si="1"/>
        <v>34</v>
      </c>
      <c r="E24" s="210" t="s">
        <v>1</v>
      </c>
      <c r="F24" s="210" t="s">
        <v>1</v>
      </c>
      <c r="G24" s="210">
        <v>0</v>
      </c>
      <c r="H24" s="220" t="s">
        <v>0</v>
      </c>
      <c r="I24" s="210" t="s">
        <v>40</v>
      </c>
      <c r="J24" s="220" t="s">
        <v>40</v>
      </c>
      <c r="K24" s="220" t="s">
        <v>395</v>
      </c>
      <c r="L24" s="210" t="s">
        <v>42</v>
      </c>
      <c r="M24" s="2">
        <v>1</v>
      </c>
      <c r="N24" s="210" t="s">
        <v>49</v>
      </c>
      <c r="O24" s="6" t="str">
        <f t="shared" si="3"/>
        <v>BXX</v>
      </c>
      <c r="P24" s="210" t="s">
        <v>1</v>
      </c>
      <c r="Q24" s="6" t="str">
        <f>$A$6&amp;"."&amp;"CONTROLLER_PROGRAM"</f>
        <v>BXX_PLC1.CONTROLLER_PROGRAM</v>
      </c>
      <c r="R24" s="210" t="s">
        <v>1</v>
      </c>
      <c r="S24" s="6" t="str">
        <f t="shared" si="4"/>
        <v>BXX Controller Program Mode Status</v>
      </c>
      <c r="T24" s="210">
        <v>0</v>
      </c>
      <c r="U24" s="210">
        <v>0</v>
      </c>
    </row>
    <row r="25" spans="1:64" x14ac:dyDescent="0.25">
      <c r="A25" s="211" t="s">
        <v>107</v>
      </c>
      <c r="B25" s="211" t="s">
        <v>4</v>
      </c>
      <c r="C25" s="211" t="s">
        <v>5</v>
      </c>
      <c r="D25" s="4">
        <f t="shared" si="1"/>
        <v>7</v>
      </c>
      <c r="E25" s="211" t="s">
        <v>30</v>
      </c>
      <c r="F25" s="211" t="s">
        <v>6</v>
      </c>
      <c r="G25" s="211" t="s">
        <v>7</v>
      </c>
      <c r="H25" s="211" t="s">
        <v>31</v>
      </c>
      <c r="I25" s="211" t="s">
        <v>66</v>
      </c>
      <c r="J25" s="211" t="s">
        <v>67</v>
      </c>
      <c r="K25" s="211" t="s">
        <v>68</v>
      </c>
      <c r="L25" s="211" t="s">
        <v>69</v>
      </c>
      <c r="M25" s="211" t="s">
        <v>70</v>
      </c>
      <c r="N25" s="211" t="s">
        <v>101</v>
      </c>
      <c r="O25" s="211" t="s">
        <v>102</v>
      </c>
      <c r="P25" s="211" t="s">
        <v>73</v>
      </c>
      <c r="Q25" s="211" t="s">
        <v>74</v>
      </c>
      <c r="R25" s="211" t="s">
        <v>75</v>
      </c>
      <c r="S25" s="211" t="s">
        <v>76</v>
      </c>
      <c r="T25" s="211" t="s">
        <v>77</v>
      </c>
      <c r="U25" s="211" t="s">
        <v>78</v>
      </c>
      <c r="V25" s="211" t="s">
        <v>79</v>
      </c>
      <c r="W25" s="211" t="s">
        <v>80</v>
      </c>
      <c r="X25" s="211" t="s">
        <v>81</v>
      </c>
      <c r="Y25" s="211" t="s">
        <v>82</v>
      </c>
      <c r="Z25" s="211" t="s">
        <v>83</v>
      </c>
      <c r="AA25" s="211" t="s">
        <v>84</v>
      </c>
      <c r="AB25" s="211" t="s">
        <v>85</v>
      </c>
      <c r="AC25" s="211" t="s">
        <v>86</v>
      </c>
      <c r="AD25" s="211" t="s">
        <v>87</v>
      </c>
      <c r="AE25" s="211" t="s">
        <v>88</v>
      </c>
      <c r="AF25" s="211" t="s">
        <v>89</v>
      </c>
      <c r="AG25" s="211" t="s">
        <v>90</v>
      </c>
      <c r="AH25" s="211" t="s">
        <v>91</v>
      </c>
      <c r="AI25" s="211" t="s">
        <v>92</v>
      </c>
      <c r="AJ25" s="211" t="s">
        <v>93</v>
      </c>
      <c r="AK25" s="211" t="s">
        <v>94</v>
      </c>
      <c r="AL25" s="211" t="s">
        <v>95</v>
      </c>
      <c r="AM25" s="211" t="s">
        <v>96</v>
      </c>
      <c r="AN25" s="211" t="s">
        <v>97</v>
      </c>
      <c r="AO25" s="211" t="s">
        <v>103</v>
      </c>
      <c r="AP25" s="211" t="s">
        <v>104</v>
      </c>
      <c r="AQ25" s="211" t="s">
        <v>105</v>
      </c>
      <c r="AR25" s="211" t="s">
        <v>45</v>
      </c>
      <c r="AS25" s="211" t="s">
        <v>46</v>
      </c>
      <c r="AT25" s="211" t="s">
        <v>47</v>
      </c>
      <c r="AU25" s="211" t="s">
        <v>48</v>
      </c>
      <c r="AV25" s="211" t="s">
        <v>37</v>
      </c>
      <c r="AW25" s="211" t="s">
        <v>38</v>
      </c>
      <c r="AX25" s="211" t="s">
        <v>8</v>
      </c>
      <c r="AY25" s="211" t="s">
        <v>9</v>
      </c>
      <c r="AZ25" s="211" t="s">
        <v>10</v>
      </c>
      <c r="BA25" s="211" t="s">
        <v>11</v>
      </c>
      <c r="BB25" s="211" t="s">
        <v>12</v>
      </c>
      <c r="BC25" s="211" t="s">
        <v>13</v>
      </c>
      <c r="BD25" s="211" t="s">
        <v>14</v>
      </c>
      <c r="BE25" s="211" t="s">
        <v>16</v>
      </c>
      <c r="BF25" s="211" t="s">
        <v>17</v>
      </c>
      <c r="BG25" s="211" t="s">
        <v>18</v>
      </c>
      <c r="BH25" s="211" t="s">
        <v>19</v>
      </c>
      <c r="BI25" s="211" t="s">
        <v>20</v>
      </c>
      <c r="BJ25" s="211" t="s">
        <v>21</v>
      </c>
      <c r="BK25" s="211" t="s">
        <v>22</v>
      </c>
      <c r="BL25" s="211" t="s">
        <v>39</v>
      </c>
    </row>
    <row r="26" spans="1:64" x14ac:dyDescent="0.25">
      <c r="A26" s="6" t="str">
        <f>$A$6&amp;"_"&amp;"CK1_AI_YY"</f>
        <v>BXX_PLC1_CK1_AI_YY</v>
      </c>
      <c r="B26" s="6" t="str">
        <f t="shared" ref="B26:B40" si="5">$A$6</f>
        <v>BXX_PLC1</v>
      </c>
      <c r="C26" s="6" t="str">
        <f>$A$5 &amp; " Date - Year"</f>
        <v>BXX Date - Year</v>
      </c>
      <c r="D26" s="4">
        <f t="shared" si="1"/>
        <v>15</v>
      </c>
      <c r="E26" s="213" t="s">
        <v>1</v>
      </c>
      <c r="F26" s="213" t="s">
        <v>1</v>
      </c>
      <c r="G26" s="213">
        <v>0</v>
      </c>
      <c r="H26" s="213" t="s">
        <v>0</v>
      </c>
      <c r="I26" s="213" t="s">
        <v>1</v>
      </c>
      <c r="J26" s="213">
        <v>0</v>
      </c>
      <c r="K26" s="213">
        <v>0</v>
      </c>
      <c r="L26" s="213" t="s">
        <v>402</v>
      </c>
      <c r="M26" s="213">
        <v>0</v>
      </c>
      <c r="N26" s="213">
        <v>0</v>
      </c>
      <c r="O26" s="213">
        <v>9999</v>
      </c>
      <c r="P26" s="213">
        <v>0</v>
      </c>
      <c r="Q26" s="213">
        <v>0</v>
      </c>
      <c r="R26" s="213" t="s">
        <v>40</v>
      </c>
      <c r="S26" s="213">
        <v>0</v>
      </c>
      <c r="T26" s="213">
        <v>1</v>
      </c>
      <c r="U26" s="213" t="s">
        <v>40</v>
      </c>
      <c r="V26" s="213">
        <v>0</v>
      </c>
      <c r="W26" s="213">
        <v>1</v>
      </c>
      <c r="X26" s="213" t="s">
        <v>40</v>
      </c>
      <c r="Y26" s="213">
        <v>0</v>
      </c>
      <c r="Z26" s="213">
        <v>1</v>
      </c>
      <c r="AA26" s="213" t="s">
        <v>40</v>
      </c>
      <c r="AB26" s="213">
        <v>0</v>
      </c>
      <c r="AC26" s="213">
        <v>1</v>
      </c>
      <c r="AD26" s="213" t="s">
        <v>40</v>
      </c>
      <c r="AE26" s="213">
        <v>0</v>
      </c>
      <c r="AF26" s="213">
        <v>1</v>
      </c>
      <c r="AG26" s="213" t="s">
        <v>40</v>
      </c>
      <c r="AH26" s="213">
        <v>0</v>
      </c>
      <c r="AI26" s="213">
        <v>1</v>
      </c>
      <c r="AJ26" s="213">
        <v>0</v>
      </c>
      <c r="AK26" s="213" t="s">
        <v>40</v>
      </c>
      <c r="AL26" s="213">
        <v>0</v>
      </c>
      <c r="AM26" s="213">
        <v>1</v>
      </c>
      <c r="AN26" s="213" t="s">
        <v>98</v>
      </c>
      <c r="AO26" s="220">
        <v>0</v>
      </c>
      <c r="AP26" s="220">
        <v>9999</v>
      </c>
      <c r="AQ26" s="213" t="s">
        <v>106</v>
      </c>
      <c r="AR26" s="6" t="str">
        <f>$A$3</f>
        <v>BXX</v>
      </c>
      <c r="AS26" s="213" t="s">
        <v>1</v>
      </c>
      <c r="AT26" s="6" t="str">
        <f>$A$6&amp;"."&amp;"CK.AI_YY"</f>
        <v>BXX_PLC1.CK.AI_YY</v>
      </c>
      <c r="AU26" s="213" t="s">
        <v>1</v>
      </c>
      <c r="AV26" s="6" t="str">
        <f>C26</f>
        <v>BXX Date - Year</v>
      </c>
      <c r="AW26" s="213">
        <v>0</v>
      </c>
      <c r="AX26" s="213">
        <v>0</v>
      </c>
      <c r="AY26" s="213">
        <v>0</v>
      </c>
      <c r="AZ26" s="213">
        <v>0</v>
      </c>
      <c r="BA26" s="213">
        <v>0</v>
      </c>
      <c r="BB26" s="213">
        <v>0</v>
      </c>
      <c r="BC26" s="213">
        <v>0</v>
      </c>
      <c r="BD26" s="213">
        <v>0</v>
      </c>
      <c r="BE26" s="212"/>
      <c r="BF26" s="212"/>
      <c r="BG26" s="212"/>
      <c r="BH26" s="212"/>
      <c r="BI26" s="212"/>
      <c r="BJ26" s="212"/>
      <c r="BK26" s="212"/>
      <c r="BL26" s="212"/>
    </row>
    <row r="27" spans="1:64" x14ac:dyDescent="0.25">
      <c r="A27" s="6" t="str">
        <f>$A$6&amp;"_"&amp;"CK1_AO_SN"</f>
        <v>BXX_PLC1_CK1_AO_SN</v>
      </c>
      <c r="B27" s="6" t="str">
        <f t="shared" si="5"/>
        <v>BXX_PLC1</v>
      </c>
      <c r="C27" s="6" t="str">
        <f>$A$5 &amp; " Date - Second Setting"</f>
        <v>BXX Date - Second Setting</v>
      </c>
      <c r="D27" s="4">
        <f t="shared" si="1"/>
        <v>25</v>
      </c>
      <c r="E27" s="213" t="s">
        <v>1</v>
      </c>
      <c r="F27" s="213" t="s">
        <v>1</v>
      </c>
      <c r="G27" s="213">
        <v>0</v>
      </c>
      <c r="H27" s="213" t="s">
        <v>0</v>
      </c>
      <c r="I27" s="213" t="s">
        <v>1</v>
      </c>
      <c r="J27" s="213">
        <v>0</v>
      </c>
      <c r="K27" s="213">
        <v>0</v>
      </c>
      <c r="L27" s="213" t="s">
        <v>109</v>
      </c>
      <c r="M27" s="213">
        <v>0</v>
      </c>
      <c r="N27" s="213">
        <v>0</v>
      </c>
      <c r="O27" s="213">
        <v>59</v>
      </c>
      <c r="P27" s="213">
        <v>0</v>
      </c>
      <c r="Q27" s="213">
        <v>0</v>
      </c>
      <c r="R27" s="213" t="s">
        <v>40</v>
      </c>
      <c r="S27" s="213">
        <v>0</v>
      </c>
      <c r="T27" s="213">
        <v>1</v>
      </c>
      <c r="U27" s="213" t="s">
        <v>40</v>
      </c>
      <c r="V27" s="213">
        <v>0</v>
      </c>
      <c r="W27" s="213">
        <v>1</v>
      </c>
      <c r="X27" s="213" t="s">
        <v>40</v>
      </c>
      <c r="Y27" s="213">
        <v>0</v>
      </c>
      <c r="Z27" s="213">
        <v>1</v>
      </c>
      <c r="AA27" s="213" t="s">
        <v>40</v>
      </c>
      <c r="AB27" s="213">
        <v>0</v>
      </c>
      <c r="AC27" s="213">
        <v>1</v>
      </c>
      <c r="AD27" s="213" t="s">
        <v>40</v>
      </c>
      <c r="AE27" s="213">
        <v>0</v>
      </c>
      <c r="AF27" s="213">
        <v>1</v>
      </c>
      <c r="AG27" s="213" t="s">
        <v>40</v>
      </c>
      <c r="AH27" s="213">
        <v>0</v>
      </c>
      <c r="AI27" s="213">
        <v>1</v>
      </c>
      <c r="AJ27" s="213">
        <v>0</v>
      </c>
      <c r="AK27" s="213" t="s">
        <v>40</v>
      </c>
      <c r="AL27" s="213">
        <v>0</v>
      </c>
      <c r="AM27" s="213">
        <v>1</v>
      </c>
      <c r="AN27" s="213" t="s">
        <v>98</v>
      </c>
      <c r="AO27" s="220">
        <v>0</v>
      </c>
      <c r="AP27" s="220">
        <v>59</v>
      </c>
      <c r="AQ27" s="213" t="s">
        <v>106</v>
      </c>
      <c r="AR27" s="6" t="str">
        <f t="shared" ref="AR27:AR40" si="6">$A$3</f>
        <v>BXX</v>
      </c>
      <c r="AS27" s="213" t="s">
        <v>1</v>
      </c>
      <c r="AT27" s="6" t="str">
        <f>$A$6&amp;"."&amp;"CK.AO_SN"</f>
        <v>BXX_PLC1.CK.AO_SN</v>
      </c>
      <c r="AU27" s="213" t="s">
        <v>1</v>
      </c>
      <c r="AV27" s="6" t="str">
        <f t="shared" ref="AV27:AV40" si="7">C27</f>
        <v>BXX Date - Second Setting</v>
      </c>
      <c r="AW27" s="213">
        <v>0</v>
      </c>
      <c r="AX27" s="213">
        <v>0</v>
      </c>
      <c r="AY27" s="213">
        <v>0</v>
      </c>
      <c r="AZ27" s="213">
        <v>0</v>
      </c>
      <c r="BA27" s="213">
        <v>0</v>
      </c>
      <c r="BB27" s="213">
        <v>0</v>
      </c>
      <c r="BC27" s="213">
        <v>0</v>
      </c>
      <c r="BD27" s="213">
        <v>0</v>
      </c>
      <c r="BE27" s="212"/>
      <c r="BF27" s="212"/>
      <c r="BG27" s="212"/>
      <c r="BH27" s="212"/>
      <c r="BI27" s="212"/>
      <c r="BJ27" s="212"/>
      <c r="BK27" s="212"/>
      <c r="BL27" s="212"/>
    </row>
    <row r="28" spans="1:64" x14ac:dyDescent="0.25">
      <c r="A28" s="6" t="str">
        <f>$A$6&amp;"_"&amp;"F31_AI_CV"</f>
        <v>BXX_PLC1_F31_AI_CV</v>
      </c>
      <c r="B28" s="6" t="str">
        <f t="shared" si="5"/>
        <v>BXX_PLC1</v>
      </c>
      <c r="C28" s="6" t="str">
        <f>$A$5 &amp; "  Major Fault Code"</f>
        <v>BXX  Major Fault Code</v>
      </c>
      <c r="D28" s="4">
        <f t="shared" si="1"/>
        <v>21</v>
      </c>
      <c r="E28" s="213" t="s">
        <v>1</v>
      </c>
      <c r="F28" s="213" t="s">
        <v>1</v>
      </c>
      <c r="G28" s="213">
        <v>0</v>
      </c>
      <c r="H28" s="213" t="s">
        <v>0</v>
      </c>
      <c r="I28" s="213" t="s">
        <v>1</v>
      </c>
      <c r="J28" s="213">
        <v>0</v>
      </c>
      <c r="K28" s="213">
        <v>0</v>
      </c>
      <c r="L28" s="212"/>
      <c r="M28" s="213">
        <v>0</v>
      </c>
      <c r="N28" s="213">
        <v>0</v>
      </c>
      <c r="O28" s="213">
        <v>1000</v>
      </c>
      <c r="P28" s="213">
        <v>0</v>
      </c>
      <c r="Q28" s="213">
        <v>0</v>
      </c>
      <c r="R28" s="213" t="s">
        <v>40</v>
      </c>
      <c r="S28" s="213">
        <v>0</v>
      </c>
      <c r="T28" s="213">
        <v>1</v>
      </c>
      <c r="U28" s="213" t="s">
        <v>40</v>
      </c>
      <c r="V28" s="213">
        <v>0</v>
      </c>
      <c r="W28" s="213">
        <v>1</v>
      </c>
      <c r="X28" s="213" t="s">
        <v>40</v>
      </c>
      <c r="Y28" s="213">
        <v>0</v>
      </c>
      <c r="Z28" s="213">
        <v>1</v>
      </c>
      <c r="AA28" s="213" t="s">
        <v>40</v>
      </c>
      <c r="AB28" s="213">
        <v>0</v>
      </c>
      <c r="AC28" s="213">
        <v>1</v>
      </c>
      <c r="AD28" s="213" t="s">
        <v>40</v>
      </c>
      <c r="AE28" s="213">
        <v>0</v>
      </c>
      <c r="AF28" s="213">
        <v>1</v>
      </c>
      <c r="AG28" s="213" t="s">
        <v>40</v>
      </c>
      <c r="AH28" s="213">
        <v>0</v>
      </c>
      <c r="AI28" s="213">
        <v>1</v>
      </c>
      <c r="AJ28" s="213">
        <v>0</v>
      </c>
      <c r="AK28" s="213" t="s">
        <v>40</v>
      </c>
      <c r="AL28" s="213">
        <v>0</v>
      </c>
      <c r="AM28" s="213">
        <v>1</v>
      </c>
      <c r="AN28" s="213" t="s">
        <v>98</v>
      </c>
      <c r="AO28" s="220">
        <v>0</v>
      </c>
      <c r="AP28" s="220">
        <v>1000</v>
      </c>
      <c r="AQ28" s="213" t="s">
        <v>106</v>
      </c>
      <c r="AR28" s="6" t="str">
        <f t="shared" si="6"/>
        <v>BXX</v>
      </c>
      <c r="AS28" s="213" t="s">
        <v>1</v>
      </c>
      <c r="AT28" s="6" t="str">
        <f>$A$6&amp;"."&amp;"MAJOR_FAULT_CODE"</f>
        <v>BXX_PLC1.MAJOR_FAULT_CODE</v>
      </c>
      <c r="AU28" s="213" t="s">
        <v>1</v>
      </c>
      <c r="AV28" s="6" t="str">
        <f t="shared" si="7"/>
        <v>BXX  Major Fault Code</v>
      </c>
      <c r="AW28" s="213">
        <v>0</v>
      </c>
      <c r="AX28" s="213">
        <v>0</v>
      </c>
      <c r="AY28" s="213">
        <v>0</v>
      </c>
      <c r="AZ28" s="213">
        <v>0</v>
      </c>
      <c r="BA28" s="213">
        <v>0</v>
      </c>
      <c r="BB28" s="213">
        <v>0</v>
      </c>
      <c r="BC28" s="213">
        <v>0</v>
      </c>
      <c r="BD28" s="213">
        <v>0</v>
      </c>
      <c r="BE28" s="212"/>
      <c r="BF28" s="212"/>
      <c r="BG28" s="212"/>
      <c r="BH28" s="212"/>
      <c r="BI28" s="212"/>
      <c r="BJ28" s="212"/>
      <c r="BK28" s="212"/>
      <c r="BL28" s="212"/>
    </row>
    <row r="29" spans="1:64" x14ac:dyDescent="0.25">
      <c r="A29" s="6" t="str">
        <f>$A$6&amp;"_"&amp;"F21_AI_CV"</f>
        <v>BXX_PLC1_F21_AI_CV</v>
      </c>
      <c r="B29" s="6" t="str">
        <f t="shared" si="5"/>
        <v>BXX_PLC1</v>
      </c>
      <c r="C29" s="6" t="str">
        <f>$A$5 &amp; " Major Fault Information"</f>
        <v>BXX Major Fault Information</v>
      </c>
      <c r="D29" s="4">
        <f t="shared" si="1"/>
        <v>27</v>
      </c>
      <c r="E29" s="213" t="s">
        <v>1</v>
      </c>
      <c r="F29" s="213" t="s">
        <v>1</v>
      </c>
      <c r="G29" s="213">
        <v>0</v>
      </c>
      <c r="H29" s="213" t="s">
        <v>0</v>
      </c>
      <c r="I29" s="213" t="s">
        <v>1</v>
      </c>
      <c r="J29" s="213">
        <v>0</v>
      </c>
      <c r="K29" s="213">
        <v>0</v>
      </c>
      <c r="L29" s="212"/>
      <c r="M29" s="213">
        <v>0</v>
      </c>
      <c r="N29" s="213">
        <v>0</v>
      </c>
      <c r="O29" s="213">
        <v>1000</v>
      </c>
      <c r="P29" s="213">
        <v>0</v>
      </c>
      <c r="Q29" s="213">
        <v>0</v>
      </c>
      <c r="R29" s="213" t="s">
        <v>40</v>
      </c>
      <c r="S29" s="213">
        <v>0</v>
      </c>
      <c r="T29" s="213">
        <v>1</v>
      </c>
      <c r="U29" s="213" t="s">
        <v>40</v>
      </c>
      <c r="V29" s="213">
        <v>0</v>
      </c>
      <c r="W29" s="213">
        <v>1</v>
      </c>
      <c r="X29" s="213" t="s">
        <v>40</v>
      </c>
      <c r="Y29" s="213">
        <v>0</v>
      </c>
      <c r="Z29" s="213">
        <v>1</v>
      </c>
      <c r="AA29" s="213" t="s">
        <v>40</v>
      </c>
      <c r="AB29" s="213">
        <v>0</v>
      </c>
      <c r="AC29" s="213">
        <v>1</v>
      </c>
      <c r="AD29" s="213" t="s">
        <v>40</v>
      </c>
      <c r="AE29" s="213">
        <v>0</v>
      </c>
      <c r="AF29" s="213">
        <v>1</v>
      </c>
      <c r="AG29" s="213" t="s">
        <v>40</v>
      </c>
      <c r="AH29" s="213">
        <v>0</v>
      </c>
      <c r="AI29" s="213">
        <v>1</v>
      </c>
      <c r="AJ29" s="213">
        <v>0</v>
      </c>
      <c r="AK29" s="213" t="s">
        <v>40</v>
      </c>
      <c r="AL29" s="213">
        <v>0</v>
      </c>
      <c r="AM29" s="213">
        <v>1</v>
      </c>
      <c r="AN29" s="213" t="s">
        <v>98</v>
      </c>
      <c r="AO29" s="220">
        <v>0</v>
      </c>
      <c r="AP29" s="220">
        <v>1000</v>
      </c>
      <c r="AQ29" s="213" t="s">
        <v>106</v>
      </c>
      <c r="AR29" s="6" t="str">
        <f t="shared" si="6"/>
        <v>BXX</v>
      </c>
      <c r="AS29" s="213" t="s">
        <v>1</v>
      </c>
      <c r="AT29" s="6" t="str">
        <f>$A$6&amp;"."&amp;"MAJOR_FAULT_INFO"</f>
        <v>BXX_PLC1.MAJOR_FAULT_INFO</v>
      </c>
      <c r="AU29" s="213" t="s">
        <v>1</v>
      </c>
      <c r="AV29" s="6" t="str">
        <f t="shared" si="7"/>
        <v>BXX Major Fault Information</v>
      </c>
      <c r="AW29" s="213">
        <v>0</v>
      </c>
      <c r="AX29" s="213">
        <v>0</v>
      </c>
      <c r="AY29" s="213">
        <v>0</v>
      </c>
      <c r="AZ29" s="213">
        <v>0</v>
      </c>
      <c r="BA29" s="213">
        <v>0</v>
      </c>
      <c r="BB29" s="213">
        <v>0</v>
      </c>
      <c r="BC29" s="213">
        <v>0</v>
      </c>
      <c r="BD29" s="213">
        <v>0</v>
      </c>
      <c r="BE29" s="212"/>
      <c r="BF29" s="212"/>
      <c r="BG29" s="212"/>
      <c r="BH29" s="212"/>
      <c r="BI29" s="212"/>
      <c r="BJ29" s="212"/>
      <c r="BK29" s="212"/>
      <c r="BL29" s="212"/>
    </row>
    <row r="30" spans="1:64" x14ac:dyDescent="0.25">
      <c r="A30" s="6" t="str">
        <f>$A$6&amp;"_"&amp;"CK1_AI_SN"</f>
        <v>BXX_PLC1_CK1_AI_SN</v>
      </c>
      <c r="B30" s="6" t="str">
        <f t="shared" si="5"/>
        <v>BXX_PLC1</v>
      </c>
      <c r="C30" s="6" t="str">
        <f>$A$5 &amp; " Date - Second"</f>
        <v>BXX Date - Second</v>
      </c>
      <c r="D30" s="4">
        <f t="shared" si="1"/>
        <v>17</v>
      </c>
      <c r="E30" s="214" t="s">
        <v>1</v>
      </c>
      <c r="F30" s="214" t="s">
        <v>1</v>
      </c>
      <c r="G30" s="214">
        <v>0</v>
      </c>
      <c r="H30" s="214" t="s">
        <v>0</v>
      </c>
      <c r="I30" s="214" t="s">
        <v>1</v>
      </c>
      <c r="J30" s="214">
        <v>0</v>
      </c>
      <c r="K30" s="214">
        <v>0</v>
      </c>
      <c r="L30" s="214" t="s">
        <v>109</v>
      </c>
      <c r="M30" s="214">
        <v>0</v>
      </c>
      <c r="N30" s="214">
        <v>0</v>
      </c>
      <c r="O30" s="214">
        <v>59</v>
      </c>
      <c r="P30" s="214">
        <v>0</v>
      </c>
      <c r="Q30" s="214">
        <v>0</v>
      </c>
      <c r="R30" s="214" t="s">
        <v>40</v>
      </c>
      <c r="S30" s="214">
        <v>0</v>
      </c>
      <c r="T30" s="214">
        <v>1</v>
      </c>
      <c r="U30" s="214" t="s">
        <v>40</v>
      </c>
      <c r="V30" s="214">
        <v>0</v>
      </c>
      <c r="W30" s="214">
        <v>1</v>
      </c>
      <c r="X30" s="214" t="s">
        <v>40</v>
      </c>
      <c r="Y30" s="214">
        <v>0</v>
      </c>
      <c r="Z30" s="214">
        <v>1</v>
      </c>
      <c r="AA30" s="214" t="s">
        <v>40</v>
      </c>
      <c r="AB30" s="214">
        <v>0</v>
      </c>
      <c r="AC30" s="214">
        <v>1</v>
      </c>
      <c r="AD30" s="214" t="s">
        <v>40</v>
      </c>
      <c r="AE30" s="214">
        <v>0</v>
      </c>
      <c r="AF30" s="214">
        <v>1</v>
      </c>
      <c r="AG30" s="214" t="s">
        <v>40</v>
      </c>
      <c r="AH30" s="214">
        <v>0</v>
      </c>
      <c r="AI30" s="214">
        <v>1</v>
      </c>
      <c r="AJ30" s="214">
        <v>0</v>
      </c>
      <c r="AK30" s="214" t="s">
        <v>40</v>
      </c>
      <c r="AL30" s="214">
        <v>0</v>
      </c>
      <c r="AM30" s="214">
        <v>1</v>
      </c>
      <c r="AN30" s="214" t="s">
        <v>98</v>
      </c>
      <c r="AO30" s="220">
        <v>0</v>
      </c>
      <c r="AP30" s="220">
        <v>59</v>
      </c>
      <c r="AQ30" s="214" t="s">
        <v>106</v>
      </c>
      <c r="AR30" s="6" t="str">
        <f t="shared" si="6"/>
        <v>BXX</v>
      </c>
      <c r="AS30" s="214" t="s">
        <v>1</v>
      </c>
      <c r="AT30" s="6" t="str">
        <f>$A$6&amp;"."&amp;"CK.AI_SN"</f>
        <v>BXX_PLC1.CK.AI_SN</v>
      </c>
      <c r="AU30" s="214" t="s">
        <v>1</v>
      </c>
      <c r="AV30" s="6" t="str">
        <f t="shared" si="7"/>
        <v>BXX Date - Second</v>
      </c>
      <c r="AW30" s="214">
        <v>0</v>
      </c>
      <c r="AX30" s="214">
        <v>0</v>
      </c>
      <c r="AY30" s="214">
        <v>0</v>
      </c>
      <c r="AZ30" s="214">
        <v>0</v>
      </c>
      <c r="BA30" s="214">
        <v>0</v>
      </c>
      <c r="BB30" s="214">
        <v>0</v>
      </c>
      <c r="BC30" s="214">
        <v>0</v>
      </c>
      <c r="BD30" s="214">
        <v>0</v>
      </c>
    </row>
    <row r="31" spans="1:64" x14ac:dyDescent="0.25">
      <c r="A31" s="6" t="str">
        <f>$A$6&amp;"_"&amp;"CK1_AI_MM"</f>
        <v>BXX_PLC1_CK1_AI_MM</v>
      </c>
      <c r="B31" s="6" t="str">
        <f t="shared" si="5"/>
        <v>BXX_PLC1</v>
      </c>
      <c r="C31" s="6" t="str">
        <f>$A$5 &amp; " Date - Month"</f>
        <v>BXX Date - Month</v>
      </c>
      <c r="D31" s="4">
        <f t="shared" si="1"/>
        <v>16</v>
      </c>
      <c r="E31" s="214" t="s">
        <v>1</v>
      </c>
      <c r="F31" s="214" t="s">
        <v>1</v>
      </c>
      <c r="G31" s="214">
        <v>0</v>
      </c>
      <c r="H31" s="214" t="s">
        <v>0</v>
      </c>
      <c r="I31" s="214" t="s">
        <v>1</v>
      </c>
      <c r="J31" s="214">
        <v>0</v>
      </c>
      <c r="K31" s="214">
        <v>0</v>
      </c>
      <c r="L31" s="214" t="s">
        <v>399</v>
      </c>
      <c r="M31" s="214">
        <v>0</v>
      </c>
      <c r="N31" s="214">
        <v>0</v>
      </c>
      <c r="O31" s="214">
        <v>12</v>
      </c>
      <c r="P31" s="214">
        <v>0</v>
      </c>
      <c r="Q31" s="214">
        <v>0</v>
      </c>
      <c r="R31" s="214" t="s">
        <v>40</v>
      </c>
      <c r="S31" s="214">
        <v>0</v>
      </c>
      <c r="T31" s="214">
        <v>1</v>
      </c>
      <c r="U31" s="214" t="s">
        <v>40</v>
      </c>
      <c r="V31" s="214">
        <v>0</v>
      </c>
      <c r="W31" s="214">
        <v>1</v>
      </c>
      <c r="X31" s="214" t="s">
        <v>40</v>
      </c>
      <c r="Y31" s="214">
        <v>0</v>
      </c>
      <c r="Z31" s="214">
        <v>1</v>
      </c>
      <c r="AA31" s="214" t="s">
        <v>40</v>
      </c>
      <c r="AB31" s="214">
        <v>0</v>
      </c>
      <c r="AC31" s="214">
        <v>1</v>
      </c>
      <c r="AD31" s="214" t="s">
        <v>40</v>
      </c>
      <c r="AE31" s="214">
        <v>0</v>
      </c>
      <c r="AF31" s="214">
        <v>1</v>
      </c>
      <c r="AG31" s="214" t="s">
        <v>40</v>
      </c>
      <c r="AH31" s="214">
        <v>0</v>
      </c>
      <c r="AI31" s="214">
        <v>1</v>
      </c>
      <c r="AJ31" s="214">
        <v>0</v>
      </c>
      <c r="AK31" s="214" t="s">
        <v>40</v>
      </c>
      <c r="AL31" s="214">
        <v>0</v>
      </c>
      <c r="AM31" s="214">
        <v>1</v>
      </c>
      <c r="AN31" s="214" t="s">
        <v>98</v>
      </c>
      <c r="AO31" s="220">
        <v>0</v>
      </c>
      <c r="AP31" s="220">
        <v>12</v>
      </c>
      <c r="AQ31" s="214" t="s">
        <v>106</v>
      </c>
      <c r="AR31" s="6" t="str">
        <f t="shared" si="6"/>
        <v>BXX</v>
      </c>
      <c r="AS31" s="214" t="s">
        <v>1</v>
      </c>
      <c r="AT31" s="6" t="str">
        <f>$A$6&amp;"."&amp;"CK.AI_MM"</f>
        <v>BXX_PLC1.CK.AI_MM</v>
      </c>
      <c r="AU31" s="214" t="s">
        <v>1</v>
      </c>
      <c r="AV31" s="6" t="str">
        <f t="shared" si="7"/>
        <v>BXX Date - Month</v>
      </c>
      <c r="AW31" s="214">
        <v>0</v>
      </c>
      <c r="AX31" s="214">
        <v>0</v>
      </c>
      <c r="AY31" s="214">
        <v>0</v>
      </c>
      <c r="AZ31" s="214">
        <v>0</v>
      </c>
      <c r="BA31" s="214">
        <v>0</v>
      </c>
      <c r="BB31" s="214">
        <v>0</v>
      </c>
      <c r="BC31" s="214">
        <v>0</v>
      </c>
      <c r="BD31" s="214">
        <v>0</v>
      </c>
    </row>
    <row r="32" spans="1:64" x14ac:dyDescent="0.25">
      <c r="A32" s="6" t="str">
        <f>$A$6&amp;"_"&amp;"CK1_AI_MS"</f>
        <v>BXX_PLC1_CK1_AI_MS</v>
      </c>
      <c r="B32" s="6" t="str">
        <f t="shared" si="5"/>
        <v>BXX_PLC1</v>
      </c>
      <c r="C32" s="6" t="str">
        <f>$A$5 &amp; " Date - Minutes"</f>
        <v>BXX Date - Minutes</v>
      </c>
      <c r="D32" s="4">
        <f t="shared" si="1"/>
        <v>18</v>
      </c>
      <c r="E32" s="214" t="s">
        <v>1</v>
      </c>
      <c r="F32" s="214" t="s">
        <v>1</v>
      </c>
      <c r="G32" s="214">
        <v>0</v>
      </c>
      <c r="H32" s="214" t="s">
        <v>0</v>
      </c>
      <c r="I32" s="214" t="s">
        <v>1</v>
      </c>
      <c r="J32" s="214">
        <v>0</v>
      </c>
      <c r="K32" s="214">
        <v>0</v>
      </c>
      <c r="L32" s="214" t="s">
        <v>98</v>
      </c>
      <c r="M32" s="214">
        <v>0</v>
      </c>
      <c r="N32" s="214">
        <v>0</v>
      </c>
      <c r="O32" s="214">
        <v>59</v>
      </c>
      <c r="P32" s="214">
        <v>0</v>
      </c>
      <c r="Q32" s="214">
        <v>0</v>
      </c>
      <c r="R32" s="214" t="s">
        <v>40</v>
      </c>
      <c r="S32" s="214">
        <v>0</v>
      </c>
      <c r="T32" s="214">
        <v>1</v>
      </c>
      <c r="U32" s="214" t="s">
        <v>40</v>
      </c>
      <c r="V32" s="214">
        <v>0</v>
      </c>
      <c r="W32" s="214">
        <v>1</v>
      </c>
      <c r="X32" s="214" t="s">
        <v>40</v>
      </c>
      <c r="Y32" s="214">
        <v>0</v>
      </c>
      <c r="Z32" s="214">
        <v>1</v>
      </c>
      <c r="AA32" s="214" t="s">
        <v>40</v>
      </c>
      <c r="AB32" s="214">
        <v>0</v>
      </c>
      <c r="AC32" s="214">
        <v>1</v>
      </c>
      <c r="AD32" s="214" t="s">
        <v>40</v>
      </c>
      <c r="AE32" s="214">
        <v>0</v>
      </c>
      <c r="AF32" s="214">
        <v>1</v>
      </c>
      <c r="AG32" s="214" t="s">
        <v>40</v>
      </c>
      <c r="AH32" s="214">
        <v>0</v>
      </c>
      <c r="AI32" s="214">
        <v>1</v>
      </c>
      <c r="AJ32" s="214">
        <v>0</v>
      </c>
      <c r="AK32" s="214" t="s">
        <v>40</v>
      </c>
      <c r="AL32" s="214">
        <v>0</v>
      </c>
      <c r="AM32" s="214">
        <v>1</v>
      </c>
      <c r="AN32" s="214" t="s">
        <v>98</v>
      </c>
      <c r="AO32" s="220">
        <v>0</v>
      </c>
      <c r="AP32" s="220">
        <v>59</v>
      </c>
      <c r="AQ32" s="214" t="s">
        <v>106</v>
      </c>
      <c r="AR32" s="6" t="str">
        <f t="shared" si="6"/>
        <v>BXX</v>
      </c>
      <c r="AS32" s="214" t="s">
        <v>1</v>
      </c>
      <c r="AT32" s="6" t="str">
        <f>$A$6&amp;"."&amp;"CK.AI_MS"</f>
        <v>BXX_PLC1.CK.AI_MS</v>
      </c>
      <c r="AU32" s="214" t="s">
        <v>1</v>
      </c>
      <c r="AV32" s="6" t="str">
        <f t="shared" si="7"/>
        <v>BXX Date - Minutes</v>
      </c>
      <c r="AW32" s="214">
        <v>0</v>
      </c>
      <c r="AX32" s="214">
        <v>0</v>
      </c>
      <c r="AY32" s="214">
        <v>0</v>
      </c>
      <c r="AZ32" s="214">
        <v>0</v>
      </c>
      <c r="BA32" s="214">
        <v>0</v>
      </c>
      <c r="BB32" s="214">
        <v>0</v>
      </c>
      <c r="BC32" s="214">
        <v>0</v>
      </c>
      <c r="BD32" s="214">
        <v>0</v>
      </c>
    </row>
    <row r="33" spans="1:56" x14ac:dyDescent="0.25">
      <c r="A33" s="6" t="str">
        <f>$A$6&amp;"_"&amp;"CK1_AI_HS"</f>
        <v>BXX_PLC1_CK1_AI_HS</v>
      </c>
      <c r="B33" s="6" t="str">
        <f t="shared" si="5"/>
        <v>BXX_PLC1</v>
      </c>
      <c r="C33" s="6" t="str">
        <f>$A$5 &amp; " Date - Hour"</f>
        <v>BXX Date - Hour</v>
      </c>
      <c r="D33" s="4">
        <f t="shared" si="1"/>
        <v>15</v>
      </c>
      <c r="E33" s="214" t="s">
        <v>1</v>
      </c>
      <c r="F33" s="214" t="s">
        <v>1</v>
      </c>
      <c r="G33" s="214">
        <v>0</v>
      </c>
      <c r="H33" s="214" t="s">
        <v>0</v>
      </c>
      <c r="I33" s="214" t="s">
        <v>1</v>
      </c>
      <c r="J33" s="214">
        <v>0</v>
      </c>
      <c r="K33" s="214">
        <v>0</v>
      </c>
      <c r="L33" s="214" t="s">
        <v>401</v>
      </c>
      <c r="M33" s="214">
        <v>0</v>
      </c>
      <c r="N33" s="214">
        <v>0</v>
      </c>
      <c r="O33" s="214">
        <v>23</v>
      </c>
      <c r="P33" s="214">
        <v>0</v>
      </c>
      <c r="Q33" s="214">
        <v>0</v>
      </c>
      <c r="R33" s="214" t="s">
        <v>40</v>
      </c>
      <c r="S33" s="214">
        <v>0</v>
      </c>
      <c r="T33" s="214">
        <v>1</v>
      </c>
      <c r="U33" s="214" t="s">
        <v>40</v>
      </c>
      <c r="V33" s="214">
        <v>0</v>
      </c>
      <c r="W33" s="214">
        <v>1</v>
      </c>
      <c r="X33" s="214" t="s">
        <v>40</v>
      </c>
      <c r="Y33" s="214">
        <v>0</v>
      </c>
      <c r="Z33" s="214">
        <v>1</v>
      </c>
      <c r="AA33" s="214" t="s">
        <v>40</v>
      </c>
      <c r="AB33" s="214">
        <v>0</v>
      </c>
      <c r="AC33" s="214">
        <v>1</v>
      </c>
      <c r="AD33" s="214" t="s">
        <v>40</v>
      </c>
      <c r="AE33" s="214">
        <v>0</v>
      </c>
      <c r="AF33" s="214">
        <v>1</v>
      </c>
      <c r="AG33" s="214" t="s">
        <v>40</v>
      </c>
      <c r="AH33" s="214">
        <v>0</v>
      </c>
      <c r="AI33" s="214">
        <v>1</v>
      </c>
      <c r="AJ33" s="214">
        <v>0</v>
      </c>
      <c r="AK33" s="214" t="s">
        <v>40</v>
      </c>
      <c r="AL33" s="214">
        <v>0</v>
      </c>
      <c r="AM33" s="214">
        <v>1</v>
      </c>
      <c r="AN33" s="214" t="s">
        <v>98</v>
      </c>
      <c r="AO33" s="220">
        <v>0</v>
      </c>
      <c r="AP33" s="220">
        <v>23</v>
      </c>
      <c r="AQ33" s="214" t="s">
        <v>106</v>
      </c>
      <c r="AR33" s="6" t="str">
        <f t="shared" si="6"/>
        <v>BXX</v>
      </c>
      <c r="AS33" s="214" t="s">
        <v>1</v>
      </c>
      <c r="AT33" s="6" t="str">
        <f>$A$6&amp;"."&amp;"CK.AI_HS"</f>
        <v>BXX_PLC1.CK.AI_HS</v>
      </c>
      <c r="AU33" s="214" t="s">
        <v>1</v>
      </c>
      <c r="AV33" s="6" t="str">
        <f t="shared" si="7"/>
        <v>BXX Date - Hour</v>
      </c>
      <c r="AW33" s="214">
        <v>0</v>
      </c>
      <c r="AX33" s="214">
        <v>0</v>
      </c>
      <c r="AY33" s="214">
        <v>0</v>
      </c>
      <c r="AZ33" s="214">
        <v>0</v>
      </c>
      <c r="BA33" s="214">
        <v>0</v>
      </c>
      <c r="BB33" s="214">
        <v>0</v>
      </c>
      <c r="BC33" s="214">
        <v>0</v>
      </c>
      <c r="BD33" s="214">
        <v>0</v>
      </c>
    </row>
    <row r="34" spans="1:56" x14ac:dyDescent="0.25">
      <c r="A34" s="6" t="str">
        <f>$A$6&amp;"_"&amp;"CK1_AI_DY"</f>
        <v>BXX_PLC1_CK1_AI_DY</v>
      </c>
      <c r="B34" s="6" t="str">
        <f t="shared" si="5"/>
        <v>BXX_PLC1</v>
      </c>
      <c r="C34" s="6" t="str">
        <f>$A$5 &amp; " Date - Day"</f>
        <v>BXX Date - Day</v>
      </c>
      <c r="D34" s="4">
        <f t="shared" si="1"/>
        <v>14</v>
      </c>
      <c r="E34" s="215" t="s">
        <v>1</v>
      </c>
      <c r="F34" s="215" t="s">
        <v>1</v>
      </c>
      <c r="G34" s="215">
        <v>0</v>
      </c>
      <c r="H34" s="215" t="s">
        <v>0</v>
      </c>
      <c r="I34" s="215" t="s">
        <v>1</v>
      </c>
      <c r="J34" s="215">
        <v>0</v>
      </c>
      <c r="K34" s="215">
        <v>0</v>
      </c>
      <c r="L34" s="215" t="s">
        <v>400</v>
      </c>
      <c r="M34" s="215">
        <v>0</v>
      </c>
      <c r="N34" s="215">
        <v>0</v>
      </c>
      <c r="O34" s="215">
        <v>31</v>
      </c>
      <c r="P34" s="215">
        <v>0</v>
      </c>
      <c r="Q34" s="215">
        <v>0</v>
      </c>
      <c r="R34" s="215" t="s">
        <v>40</v>
      </c>
      <c r="S34" s="215">
        <v>0</v>
      </c>
      <c r="T34" s="215">
        <v>1</v>
      </c>
      <c r="U34" s="215" t="s">
        <v>40</v>
      </c>
      <c r="V34" s="215">
        <v>0</v>
      </c>
      <c r="W34" s="215">
        <v>1</v>
      </c>
      <c r="X34" s="215" t="s">
        <v>40</v>
      </c>
      <c r="Y34" s="215">
        <v>0</v>
      </c>
      <c r="Z34" s="215">
        <v>1</v>
      </c>
      <c r="AA34" s="215" t="s">
        <v>40</v>
      </c>
      <c r="AB34" s="215">
        <v>0</v>
      </c>
      <c r="AC34" s="215">
        <v>1</v>
      </c>
      <c r="AD34" s="215" t="s">
        <v>40</v>
      </c>
      <c r="AE34" s="215">
        <v>0</v>
      </c>
      <c r="AF34" s="215">
        <v>1</v>
      </c>
      <c r="AG34" s="215" t="s">
        <v>40</v>
      </c>
      <c r="AH34" s="215">
        <v>0</v>
      </c>
      <c r="AI34" s="215">
        <v>1</v>
      </c>
      <c r="AJ34" s="215">
        <v>0</v>
      </c>
      <c r="AK34" s="215" t="s">
        <v>40</v>
      </c>
      <c r="AL34" s="215">
        <v>0</v>
      </c>
      <c r="AM34" s="215">
        <v>1</v>
      </c>
      <c r="AN34" s="215" t="s">
        <v>98</v>
      </c>
      <c r="AO34" s="220">
        <v>0</v>
      </c>
      <c r="AP34" s="220">
        <v>31</v>
      </c>
      <c r="AQ34" s="215" t="s">
        <v>106</v>
      </c>
      <c r="AR34" s="6" t="str">
        <f t="shared" si="6"/>
        <v>BXX</v>
      </c>
      <c r="AS34" s="215" t="s">
        <v>1</v>
      </c>
      <c r="AT34" s="6" t="str">
        <f>$A$6&amp;"."&amp;"CK.AI_DY"</f>
        <v>BXX_PLC1.CK.AI_DY</v>
      </c>
      <c r="AU34" s="215" t="s">
        <v>1</v>
      </c>
      <c r="AV34" s="6" t="str">
        <f t="shared" si="7"/>
        <v>BXX Date - Day</v>
      </c>
      <c r="AW34" s="215">
        <v>0</v>
      </c>
      <c r="AX34" s="215">
        <v>0</v>
      </c>
      <c r="AY34" s="215">
        <v>0</v>
      </c>
      <c r="AZ34" s="215">
        <v>0</v>
      </c>
      <c r="BA34" s="215">
        <v>0</v>
      </c>
      <c r="BB34" s="215">
        <v>0</v>
      </c>
      <c r="BC34" s="215">
        <v>0</v>
      </c>
      <c r="BD34" s="215">
        <v>0</v>
      </c>
    </row>
    <row r="35" spans="1:56" x14ac:dyDescent="0.25">
      <c r="A35" s="6" t="str">
        <f>$A$6&amp;"_"&amp;"CK1_AO_MS"</f>
        <v>BXX_PLC1_CK1_AO_MS</v>
      </c>
      <c r="B35" s="6" t="str">
        <f>$A$5</f>
        <v>BXX</v>
      </c>
      <c r="C35" s="6" t="str">
        <f>$A$5 &amp; " Date - Minutes Setting"</f>
        <v>BXX Date - Minutes Setting</v>
      </c>
      <c r="D35" s="4">
        <f t="shared" si="1"/>
        <v>26</v>
      </c>
      <c r="E35" s="216" t="s">
        <v>1</v>
      </c>
      <c r="F35" s="216" t="s">
        <v>1</v>
      </c>
      <c r="G35" s="216">
        <v>0</v>
      </c>
      <c r="H35" s="216" t="s">
        <v>0</v>
      </c>
      <c r="I35" s="216" t="s">
        <v>1</v>
      </c>
      <c r="J35" s="216">
        <v>0</v>
      </c>
      <c r="K35" s="216">
        <v>0</v>
      </c>
      <c r="L35" s="216" t="s">
        <v>98</v>
      </c>
      <c r="M35" s="216">
        <v>0</v>
      </c>
      <c r="N35" s="216">
        <v>0</v>
      </c>
      <c r="O35" s="216">
        <v>59</v>
      </c>
      <c r="P35" s="216">
        <v>0</v>
      </c>
      <c r="Q35" s="216">
        <v>0</v>
      </c>
      <c r="R35" s="216" t="s">
        <v>40</v>
      </c>
      <c r="S35" s="216">
        <v>0</v>
      </c>
      <c r="T35" s="216">
        <v>1</v>
      </c>
      <c r="U35" s="216" t="s">
        <v>40</v>
      </c>
      <c r="V35" s="216">
        <v>0</v>
      </c>
      <c r="W35" s="216">
        <v>1</v>
      </c>
      <c r="X35" s="216" t="s">
        <v>40</v>
      </c>
      <c r="Y35" s="216">
        <v>0</v>
      </c>
      <c r="Z35" s="216">
        <v>1</v>
      </c>
      <c r="AA35" s="216" t="s">
        <v>40</v>
      </c>
      <c r="AB35" s="216">
        <v>0</v>
      </c>
      <c r="AC35" s="216">
        <v>1</v>
      </c>
      <c r="AD35" s="216" t="s">
        <v>40</v>
      </c>
      <c r="AE35" s="216">
        <v>0</v>
      </c>
      <c r="AF35" s="216">
        <v>1</v>
      </c>
      <c r="AG35" s="216" t="s">
        <v>40</v>
      </c>
      <c r="AH35" s="216">
        <v>0</v>
      </c>
      <c r="AI35" s="216">
        <v>1</v>
      </c>
      <c r="AJ35" s="216">
        <v>0</v>
      </c>
      <c r="AK35" s="216" t="s">
        <v>40</v>
      </c>
      <c r="AL35" s="216">
        <v>0</v>
      </c>
      <c r="AM35" s="216">
        <v>1</v>
      </c>
      <c r="AN35" s="216" t="s">
        <v>98</v>
      </c>
      <c r="AO35" s="220">
        <v>0</v>
      </c>
      <c r="AP35" s="220">
        <v>59</v>
      </c>
      <c r="AQ35" s="216" t="s">
        <v>106</v>
      </c>
      <c r="AR35" s="6" t="str">
        <f t="shared" si="6"/>
        <v>BXX</v>
      </c>
      <c r="AS35" s="216" t="s">
        <v>1</v>
      </c>
      <c r="AT35" s="6" t="str">
        <f>$A$6&amp;"."&amp;"CK.AO_MS"</f>
        <v>BXX_PLC1.CK.AO_MS</v>
      </c>
      <c r="AU35" s="216" t="s">
        <v>1</v>
      </c>
      <c r="AV35" s="6" t="str">
        <f t="shared" si="7"/>
        <v>BXX Date - Minutes Setting</v>
      </c>
      <c r="AW35" s="216">
        <v>0</v>
      </c>
      <c r="AX35" s="216">
        <v>0</v>
      </c>
      <c r="AY35" s="216">
        <v>0</v>
      </c>
      <c r="AZ35" s="216">
        <v>0</v>
      </c>
      <c r="BA35" s="216">
        <v>0</v>
      </c>
      <c r="BB35" s="216">
        <v>0</v>
      </c>
      <c r="BC35" s="216">
        <v>0</v>
      </c>
      <c r="BD35" s="216">
        <v>0</v>
      </c>
    </row>
    <row r="36" spans="1:56" x14ac:dyDescent="0.25">
      <c r="A36" s="6" t="str">
        <f>$A$6&amp;"_"&amp;"CK1_AO_DY"</f>
        <v>BXX_PLC1_CK1_AO_DY</v>
      </c>
      <c r="B36" s="6" t="str">
        <f>$A$5</f>
        <v>BXX</v>
      </c>
      <c r="C36" s="6" t="str">
        <f>$A$5 &amp; " Date - Day Setting"</f>
        <v>BXX Date - Day Setting</v>
      </c>
      <c r="D36" s="4">
        <f t="shared" si="1"/>
        <v>22</v>
      </c>
      <c r="E36" s="217" t="s">
        <v>1</v>
      </c>
      <c r="F36" s="217" t="s">
        <v>1</v>
      </c>
      <c r="G36" s="217">
        <v>0</v>
      </c>
      <c r="H36" s="217" t="s">
        <v>0</v>
      </c>
      <c r="I36" s="217" t="s">
        <v>1</v>
      </c>
      <c r="J36" s="217">
        <v>0</v>
      </c>
      <c r="K36" s="217">
        <v>0</v>
      </c>
      <c r="L36" s="217" t="s">
        <v>400</v>
      </c>
      <c r="M36" s="217">
        <v>0</v>
      </c>
      <c r="N36" s="217">
        <v>0</v>
      </c>
      <c r="O36" s="217">
        <v>31</v>
      </c>
      <c r="P36" s="217">
        <v>0</v>
      </c>
      <c r="Q36" s="217">
        <v>0</v>
      </c>
      <c r="R36" s="217" t="s">
        <v>40</v>
      </c>
      <c r="S36" s="217">
        <v>0</v>
      </c>
      <c r="T36" s="217">
        <v>1</v>
      </c>
      <c r="U36" s="217" t="s">
        <v>40</v>
      </c>
      <c r="V36" s="217">
        <v>0</v>
      </c>
      <c r="W36" s="217">
        <v>1</v>
      </c>
      <c r="X36" s="217" t="s">
        <v>40</v>
      </c>
      <c r="Y36" s="217">
        <v>0</v>
      </c>
      <c r="Z36" s="217">
        <v>1</v>
      </c>
      <c r="AA36" s="217" t="s">
        <v>40</v>
      </c>
      <c r="AB36" s="217">
        <v>0</v>
      </c>
      <c r="AC36" s="217">
        <v>1</v>
      </c>
      <c r="AD36" s="217" t="s">
        <v>40</v>
      </c>
      <c r="AE36" s="217">
        <v>0</v>
      </c>
      <c r="AF36" s="217">
        <v>1</v>
      </c>
      <c r="AG36" s="217" t="s">
        <v>40</v>
      </c>
      <c r="AH36" s="217">
        <v>0</v>
      </c>
      <c r="AI36" s="217">
        <v>1</v>
      </c>
      <c r="AJ36" s="217">
        <v>0</v>
      </c>
      <c r="AK36" s="217" t="s">
        <v>40</v>
      </c>
      <c r="AL36" s="217">
        <v>0</v>
      </c>
      <c r="AM36" s="217">
        <v>1</v>
      </c>
      <c r="AN36" s="217" t="s">
        <v>98</v>
      </c>
      <c r="AO36" s="220">
        <v>0</v>
      </c>
      <c r="AP36" s="220">
        <v>31</v>
      </c>
      <c r="AQ36" s="217" t="s">
        <v>106</v>
      </c>
      <c r="AR36" s="6" t="str">
        <f t="shared" si="6"/>
        <v>BXX</v>
      </c>
      <c r="AS36" s="217" t="s">
        <v>1</v>
      </c>
      <c r="AT36" s="6" t="str">
        <f>$A$6&amp;"."&amp;"CK.AO_DY"</f>
        <v>BXX_PLC1.CK.AO_DY</v>
      </c>
      <c r="AU36" s="217" t="s">
        <v>1</v>
      </c>
      <c r="AV36" s="6" t="str">
        <f t="shared" si="7"/>
        <v>BXX Date - Day Setting</v>
      </c>
      <c r="AW36" s="217">
        <v>0</v>
      </c>
      <c r="AX36" s="217">
        <v>0</v>
      </c>
      <c r="AY36" s="217">
        <v>0</v>
      </c>
      <c r="AZ36" s="217">
        <v>0</v>
      </c>
      <c r="BA36" s="217">
        <v>0</v>
      </c>
      <c r="BB36" s="217">
        <v>0</v>
      </c>
      <c r="BC36" s="217">
        <v>0</v>
      </c>
      <c r="BD36" s="217">
        <v>0</v>
      </c>
    </row>
    <row r="37" spans="1:56" x14ac:dyDescent="0.25">
      <c r="A37" s="6" t="str">
        <f>$A$6&amp;"_"&amp;"CK1_AO_MM"</f>
        <v>BXX_PLC1_CK1_AO_MM</v>
      </c>
      <c r="B37" s="6" t="str">
        <f>$A$5</f>
        <v>BXX</v>
      </c>
      <c r="C37" s="6" t="str">
        <f>$A$5 &amp; " Date - Month Setting"</f>
        <v>BXX Date - Month Setting</v>
      </c>
      <c r="D37" s="4">
        <f t="shared" si="1"/>
        <v>24</v>
      </c>
      <c r="E37" s="218" t="s">
        <v>1</v>
      </c>
      <c r="F37" s="218" t="s">
        <v>1</v>
      </c>
      <c r="G37" s="218">
        <v>0</v>
      </c>
      <c r="H37" s="218" t="s">
        <v>0</v>
      </c>
      <c r="I37" s="218" t="s">
        <v>1</v>
      </c>
      <c r="J37" s="218">
        <v>0</v>
      </c>
      <c r="K37" s="218">
        <v>0</v>
      </c>
      <c r="L37" s="218" t="s">
        <v>399</v>
      </c>
      <c r="M37" s="218">
        <v>0</v>
      </c>
      <c r="N37" s="218">
        <v>0</v>
      </c>
      <c r="O37" s="218">
        <v>12</v>
      </c>
      <c r="P37" s="218">
        <v>0</v>
      </c>
      <c r="Q37" s="218">
        <v>0</v>
      </c>
      <c r="R37" s="218" t="s">
        <v>40</v>
      </c>
      <c r="S37" s="218">
        <v>0</v>
      </c>
      <c r="T37" s="218">
        <v>1</v>
      </c>
      <c r="U37" s="218" t="s">
        <v>40</v>
      </c>
      <c r="V37" s="218">
        <v>0</v>
      </c>
      <c r="W37" s="218">
        <v>1</v>
      </c>
      <c r="X37" s="218" t="s">
        <v>40</v>
      </c>
      <c r="Y37" s="218">
        <v>0</v>
      </c>
      <c r="Z37" s="218">
        <v>1</v>
      </c>
      <c r="AA37" s="218" t="s">
        <v>40</v>
      </c>
      <c r="AB37" s="218">
        <v>0</v>
      </c>
      <c r="AC37" s="218">
        <v>1</v>
      </c>
      <c r="AD37" s="218" t="s">
        <v>40</v>
      </c>
      <c r="AE37" s="218">
        <v>0</v>
      </c>
      <c r="AF37" s="218">
        <v>1</v>
      </c>
      <c r="AG37" s="218" t="s">
        <v>40</v>
      </c>
      <c r="AH37" s="218">
        <v>0</v>
      </c>
      <c r="AI37" s="218">
        <v>1</v>
      </c>
      <c r="AJ37" s="218">
        <v>0</v>
      </c>
      <c r="AK37" s="218" t="s">
        <v>40</v>
      </c>
      <c r="AL37" s="218">
        <v>0</v>
      </c>
      <c r="AM37" s="218">
        <v>1</v>
      </c>
      <c r="AN37" s="218" t="s">
        <v>98</v>
      </c>
      <c r="AO37" s="220">
        <v>0</v>
      </c>
      <c r="AP37" s="220">
        <v>12</v>
      </c>
      <c r="AQ37" s="218" t="s">
        <v>106</v>
      </c>
      <c r="AR37" s="6" t="str">
        <f t="shared" si="6"/>
        <v>BXX</v>
      </c>
      <c r="AS37" s="218" t="s">
        <v>1</v>
      </c>
      <c r="AT37" s="6" t="str">
        <f>$A$6&amp;"."&amp;"CK.AO_MM"</f>
        <v>BXX_PLC1.CK.AO_MM</v>
      </c>
      <c r="AU37" s="218" t="s">
        <v>1</v>
      </c>
      <c r="AV37" s="6" t="str">
        <f t="shared" si="7"/>
        <v>BXX Date - Month Setting</v>
      </c>
      <c r="AW37" s="218">
        <v>0</v>
      </c>
      <c r="AX37" s="218">
        <v>0</v>
      </c>
      <c r="AY37" s="218">
        <v>0</v>
      </c>
      <c r="AZ37" s="218">
        <v>0</v>
      </c>
      <c r="BA37" s="218">
        <v>0</v>
      </c>
      <c r="BB37" s="218">
        <v>0</v>
      </c>
      <c r="BC37" s="218">
        <v>0</v>
      </c>
      <c r="BD37" s="218">
        <v>0</v>
      </c>
    </row>
    <row r="38" spans="1:56" x14ac:dyDescent="0.25">
      <c r="A38" s="6" t="str">
        <f>$A$6&amp;"_"&amp;"CK1_AO_HS"</f>
        <v>BXX_PLC1_CK1_AO_HS</v>
      </c>
      <c r="B38" s="6" t="str">
        <f>$A$5</f>
        <v>BXX</v>
      </c>
      <c r="C38" s="6" t="str">
        <f>$A$5 &amp; " Date - Hour Setting"</f>
        <v>BXX Date - Hour Setting</v>
      </c>
      <c r="D38" s="4">
        <f t="shared" si="1"/>
        <v>23</v>
      </c>
      <c r="E38" s="218" t="s">
        <v>1</v>
      </c>
      <c r="F38" s="218" t="s">
        <v>1</v>
      </c>
      <c r="G38" s="218">
        <v>0</v>
      </c>
      <c r="H38" s="218" t="s">
        <v>0</v>
      </c>
      <c r="I38" s="218" t="s">
        <v>1</v>
      </c>
      <c r="J38" s="218">
        <v>0</v>
      </c>
      <c r="K38" s="218">
        <v>0</v>
      </c>
      <c r="L38" s="218" t="s">
        <v>401</v>
      </c>
      <c r="M38" s="218">
        <v>0</v>
      </c>
      <c r="N38" s="218">
        <v>0</v>
      </c>
      <c r="O38" s="218">
        <v>23</v>
      </c>
      <c r="P38" s="218">
        <v>0</v>
      </c>
      <c r="Q38" s="218">
        <v>0</v>
      </c>
      <c r="R38" s="218" t="s">
        <v>40</v>
      </c>
      <c r="S38" s="218">
        <v>0</v>
      </c>
      <c r="T38" s="218">
        <v>1</v>
      </c>
      <c r="U38" s="218" t="s">
        <v>40</v>
      </c>
      <c r="V38" s="218">
        <v>0</v>
      </c>
      <c r="W38" s="218">
        <v>1</v>
      </c>
      <c r="X38" s="218" t="s">
        <v>40</v>
      </c>
      <c r="Y38" s="218">
        <v>0</v>
      </c>
      <c r="Z38" s="218">
        <v>1</v>
      </c>
      <c r="AA38" s="218" t="s">
        <v>40</v>
      </c>
      <c r="AB38" s="218">
        <v>0</v>
      </c>
      <c r="AC38" s="218">
        <v>1</v>
      </c>
      <c r="AD38" s="218" t="s">
        <v>40</v>
      </c>
      <c r="AE38" s="218">
        <v>0</v>
      </c>
      <c r="AF38" s="218">
        <v>1</v>
      </c>
      <c r="AG38" s="218" t="s">
        <v>40</v>
      </c>
      <c r="AH38" s="218">
        <v>0</v>
      </c>
      <c r="AI38" s="218">
        <v>1</v>
      </c>
      <c r="AJ38" s="218">
        <v>0</v>
      </c>
      <c r="AK38" s="218" t="s">
        <v>40</v>
      </c>
      <c r="AL38" s="218">
        <v>0</v>
      </c>
      <c r="AM38" s="218">
        <v>1</v>
      </c>
      <c r="AN38" s="218" t="s">
        <v>98</v>
      </c>
      <c r="AO38" s="220">
        <v>0</v>
      </c>
      <c r="AP38" s="220">
        <v>23</v>
      </c>
      <c r="AQ38" s="218" t="s">
        <v>106</v>
      </c>
      <c r="AR38" s="6" t="str">
        <f t="shared" si="6"/>
        <v>BXX</v>
      </c>
      <c r="AS38" s="218" t="s">
        <v>1</v>
      </c>
      <c r="AT38" s="6" t="str">
        <f>$A$6&amp;"."&amp;"CK.AO_HS"</f>
        <v>BXX_PLC1.CK.AO_HS</v>
      </c>
      <c r="AU38" s="218" t="s">
        <v>1</v>
      </c>
      <c r="AV38" s="6" t="str">
        <f t="shared" si="7"/>
        <v>BXX Date - Hour Setting</v>
      </c>
      <c r="AW38" s="218">
        <v>0</v>
      </c>
      <c r="AX38" s="218">
        <v>0</v>
      </c>
      <c r="AY38" s="218">
        <v>0</v>
      </c>
      <c r="AZ38" s="218">
        <v>0</v>
      </c>
      <c r="BA38" s="218">
        <v>0</v>
      </c>
      <c r="BB38" s="218">
        <v>0</v>
      </c>
      <c r="BC38" s="218">
        <v>0</v>
      </c>
      <c r="BD38" s="218">
        <v>0</v>
      </c>
    </row>
    <row r="39" spans="1:56" x14ac:dyDescent="0.25">
      <c r="A39" s="6" t="str">
        <f>$A$6&amp;"_"&amp;"CK1_AO_YY"</f>
        <v>BXX_PLC1_CK1_AO_YY</v>
      </c>
      <c r="B39" s="6" t="str">
        <f>$A$5</f>
        <v>BXX</v>
      </c>
      <c r="C39" s="6" t="str">
        <f>$A$5 &amp; " Date - Year Setting"</f>
        <v>BXX Date - Year Setting</v>
      </c>
      <c r="D39" s="4">
        <f t="shared" si="1"/>
        <v>23</v>
      </c>
      <c r="E39" s="220" t="s">
        <v>1</v>
      </c>
      <c r="F39" s="220" t="s">
        <v>1</v>
      </c>
      <c r="G39" s="220">
        <v>0</v>
      </c>
      <c r="H39" s="220" t="s">
        <v>0</v>
      </c>
      <c r="I39" s="220" t="s">
        <v>1</v>
      </c>
      <c r="J39" s="220">
        <v>0</v>
      </c>
      <c r="K39" s="220">
        <v>0</v>
      </c>
      <c r="L39" s="220" t="s">
        <v>402</v>
      </c>
      <c r="M39" s="220">
        <v>0</v>
      </c>
      <c r="N39" s="220">
        <v>0</v>
      </c>
      <c r="O39" s="220">
        <v>9999</v>
      </c>
      <c r="P39" s="220">
        <v>0</v>
      </c>
      <c r="Q39" s="220">
        <v>0</v>
      </c>
      <c r="R39" s="220" t="s">
        <v>40</v>
      </c>
      <c r="S39" s="220">
        <v>0</v>
      </c>
      <c r="T39" s="220">
        <v>1</v>
      </c>
      <c r="U39" s="220" t="s">
        <v>40</v>
      </c>
      <c r="V39" s="220">
        <v>0</v>
      </c>
      <c r="W39" s="220">
        <v>1</v>
      </c>
      <c r="X39" s="220" t="s">
        <v>40</v>
      </c>
      <c r="Y39" s="220">
        <v>0</v>
      </c>
      <c r="Z39" s="220">
        <v>1</v>
      </c>
      <c r="AA39" s="220" t="s">
        <v>40</v>
      </c>
      <c r="AB39" s="220">
        <v>0</v>
      </c>
      <c r="AC39" s="220">
        <v>1</v>
      </c>
      <c r="AD39" s="220" t="s">
        <v>40</v>
      </c>
      <c r="AE39" s="220">
        <v>0</v>
      </c>
      <c r="AF39" s="220">
        <v>1</v>
      </c>
      <c r="AG39" s="220" t="s">
        <v>40</v>
      </c>
      <c r="AH39" s="220">
        <v>0</v>
      </c>
      <c r="AI39" s="220">
        <v>1</v>
      </c>
      <c r="AJ39" s="220">
        <v>0</v>
      </c>
      <c r="AK39" s="220" t="s">
        <v>40</v>
      </c>
      <c r="AL39" s="220">
        <v>0</v>
      </c>
      <c r="AM39" s="220">
        <v>1</v>
      </c>
      <c r="AN39" s="220" t="s">
        <v>98</v>
      </c>
      <c r="AO39" s="220">
        <v>0</v>
      </c>
      <c r="AP39" s="220">
        <v>9999</v>
      </c>
      <c r="AQ39" s="220" t="s">
        <v>106</v>
      </c>
      <c r="AR39" s="6" t="str">
        <f t="shared" si="6"/>
        <v>BXX</v>
      </c>
      <c r="AS39" s="220" t="s">
        <v>1</v>
      </c>
      <c r="AT39" s="6" t="str">
        <f>$A$6&amp;"."&amp;"CK.AO_YY"</f>
        <v>BXX_PLC1.CK.AO_YY</v>
      </c>
      <c r="AU39" s="220" t="s">
        <v>1</v>
      </c>
      <c r="AV39" s="6" t="str">
        <f t="shared" si="7"/>
        <v>BXX Date - Year Setting</v>
      </c>
      <c r="AW39" s="220">
        <v>0</v>
      </c>
      <c r="AX39" s="220">
        <v>0</v>
      </c>
      <c r="AY39" s="220">
        <v>0</v>
      </c>
      <c r="AZ39" s="220">
        <v>0</v>
      </c>
      <c r="BA39" s="220">
        <v>0</v>
      </c>
      <c r="BB39" s="220">
        <v>0</v>
      </c>
      <c r="BC39" s="220">
        <v>0</v>
      </c>
      <c r="BD39" s="220">
        <v>0</v>
      </c>
    </row>
    <row r="40" spans="1:56" x14ac:dyDescent="0.25">
      <c r="A40" s="6" t="str">
        <f>$A$6&amp;"_"&amp;"F11_AI_CV"</f>
        <v>BXX_PLC1_F11_AI_CV</v>
      </c>
      <c r="B40" s="6" t="str">
        <f t="shared" si="5"/>
        <v>BXX_PLC1</v>
      </c>
      <c r="C40" s="6" t="str">
        <f>$A$5 &amp; " Major Fault Type"</f>
        <v>BXX Major Fault Type</v>
      </c>
      <c r="D40" s="4">
        <f t="shared" si="1"/>
        <v>20</v>
      </c>
      <c r="E40" s="220" t="s">
        <v>1</v>
      </c>
      <c r="F40" s="220" t="s">
        <v>1</v>
      </c>
      <c r="G40" s="220">
        <v>0</v>
      </c>
      <c r="H40" s="220" t="s">
        <v>0</v>
      </c>
      <c r="I40" s="220" t="s">
        <v>1</v>
      </c>
      <c r="J40" s="220">
        <v>0</v>
      </c>
      <c r="K40" s="220">
        <v>0</v>
      </c>
      <c r="L40" s="219"/>
      <c r="M40" s="220">
        <v>0</v>
      </c>
      <c r="N40" s="220">
        <v>0</v>
      </c>
      <c r="O40" s="220">
        <v>1000</v>
      </c>
      <c r="P40" s="220">
        <v>0</v>
      </c>
      <c r="Q40" s="220">
        <v>0</v>
      </c>
      <c r="R40" s="220" t="s">
        <v>40</v>
      </c>
      <c r="S40" s="220">
        <v>0</v>
      </c>
      <c r="T40" s="220">
        <v>1</v>
      </c>
      <c r="U40" s="220" t="s">
        <v>40</v>
      </c>
      <c r="V40" s="220">
        <v>0</v>
      </c>
      <c r="W40" s="220">
        <v>1</v>
      </c>
      <c r="X40" s="220" t="s">
        <v>40</v>
      </c>
      <c r="Y40" s="220">
        <v>0</v>
      </c>
      <c r="Z40" s="220">
        <v>1</v>
      </c>
      <c r="AA40" s="220" t="s">
        <v>40</v>
      </c>
      <c r="AB40" s="220">
        <v>0</v>
      </c>
      <c r="AC40" s="220">
        <v>1</v>
      </c>
      <c r="AD40" s="220" t="s">
        <v>40</v>
      </c>
      <c r="AE40" s="220">
        <v>0</v>
      </c>
      <c r="AF40" s="220">
        <v>1</v>
      </c>
      <c r="AG40" s="220" t="s">
        <v>40</v>
      </c>
      <c r="AH40" s="220">
        <v>0</v>
      </c>
      <c r="AI40" s="220">
        <v>1</v>
      </c>
      <c r="AJ40" s="220">
        <v>0</v>
      </c>
      <c r="AK40" s="220" t="s">
        <v>40</v>
      </c>
      <c r="AL40" s="220">
        <v>0</v>
      </c>
      <c r="AM40" s="220">
        <v>1</v>
      </c>
      <c r="AN40" s="220" t="s">
        <v>98</v>
      </c>
      <c r="AO40" s="220">
        <v>0</v>
      </c>
      <c r="AP40" s="220">
        <v>1000</v>
      </c>
      <c r="AQ40" s="220" t="s">
        <v>106</v>
      </c>
      <c r="AR40" s="6" t="str">
        <f t="shared" si="6"/>
        <v>BXX</v>
      </c>
      <c r="AS40" s="220" t="s">
        <v>1</v>
      </c>
      <c r="AT40" s="6" t="str">
        <f>$A$6&amp;"."&amp;"MAJOR_FAULT_TYPE"</f>
        <v>BXX_PLC1.MAJOR_FAULT_TYPE</v>
      </c>
      <c r="AU40" s="220" t="s">
        <v>1</v>
      </c>
      <c r="AV40" s="6" t="str">
        <f t="shared" si="7"/>
        <v>BXX Major Fault Type</v>
      </c>
      <c r="AW40" s="220">
        <v>0</v>
      </c>
      <c r="AX40" s="220">
        <v>0</v>
      </c>
      <c r="AY40" s="220">
        <v>0</v>
      </c>
      <c r="AZ40" s="220">
        <v>0</v>
      </c>
      <c r="BA40" s="220">
        <v>0</v>
      </c>
      <c r="BB40" s="220">
        <v>0</v>
      </c>
      <c r="BC40" s="220">
        <v>0</v>
      </c>
      <c r="BD40" s="220">
        <v>0</v>
      </c>
    </row>
    <row r="41" spans="1:56" x14ac:dyDescent="0.25">
      <c r="D41" s="4">
        <f t="shared" ref="D41:D42" si="8">LEN(C41)</f>
        <v>0</v>
      </c>
    </row>
    <row r="42" spans="1:56" x14ac:dyDescent="0.25">
      <c r="D42" s="4">
        <f t="shared" si="8"/>
        <v>0</v>
      </c>
    </row>
    <row r="44" spans="1:56" x14ac:dyDescent="0.25">
      <c r="D44" s="4">
        <f t="shared" ref="D44:D114" si="9">LEN(C44)</f>
        <v>0</v>
      </c>
    </row>
    <row r="45" spans="1:56" x14ac:dyDescent="0.25">
      <c r="D45" s="4">
        <f t="shared" si="9"/>
        <v>0</v>
      </c>
    </row>
    <row r="46" spans="1:56" x14ac:dyDescent="0.25">
      <c r="D46" s="4">
        <f t="shared" si="9"/>
        <v>0</v>
      </c>
    </row>
    <row r="47" spans="1:56" x14ac:dyDescent="0.25">
      <c r="D47" s="4">
        <f t="shared" si="9"/>
        <v>0</v>
      </c>
    </row>
    <row r="48" spans="1:56" x14ac:dyDescent="0.25">
      <c r="D48" s="4">
        <f t="shared" si="9"/>
        <v>0</v>
      </c>
    </row>
    <row r="49" spans="4:4" x14ac:dyDescent="0.25">
      <c r="D49" s="4">
        <f t="shared" si="9"/>
        <v>0</v>
      </c>
    </row>
    <row r="50" spans="4:4" x14ac:dyDescent="0.25">
      <c r="D50" s="4">
        <f t="shared" si="9"/>
        <v>0</v>
      </c>
    </row>
    <row r="51" spans="4:4" x14ac:dyDescent="0.25">
      <c r="D51" s="4">
        <f t="shared" si="9"/>
        <v>0</v>
      </c>
    </row>
    <row r="52" spans="4:4" x14ac:dyDescent="0.25">
      <c r="D52" s="4">
        <f t="shared" si="9"/>
        <v>0</v>
      </c>
    </row>
    <row r="53" spans="4:4" x14ac:dyDescent="0.25">
      <c r="D53" s="4">
        <f t="shared" si="9"/>
        <v>0</v>
      </c>
    </row>
    <row r="54" spans="4:4" x14ac:dyDescent="0.25">
      <c r="D54" s="4">
        <f t="shared" si="9"/>
        <v>0</v>
      </c>
    </row>
    <row r="55" spans="4:4" x14ac:dyDescent="0.25">
      <c r="D55" s="4">
        <f t="shared" si="9"/>
        <v>0</v>
      </c>
    </row>
    <row r="56" spans="4:4" x14ac:dyDescent="0.25">
      <c r="D56" s="4">
        <f t="shared" si="9"/>
        <v>0</v>
      </c>
    </row>
    <row r="57" spans="4:4" x14ac:dyDescent="0.25">
      <c r="D57" s="4">
        <f t="shared" si="9"/>
        <v>0</v>
      </c>
    </row>
    <row r="58" spans="4:4" x14ac:dyDescent="0.25">
      <c r="D58" s="4">
        <f t="shared" si="9"/>
        <v>0</v>
      </c>
    </row>
    <row r="59" spans="4:4" x14ac:dyDescent="0.25">
      <c r="D59" s="4">
        <f t="shared" si="9"/>
        <v>0</v>
      </c>
    </row>
    <row r="60" spans="4:4" x14ac:dyDescent="0.25">
      <c r="D60" s="4">
        <f t="shared" si="9"/>
        <v>0</v>
      </c>
    </row>
    <row r="61" spans="4:4" x14ac:dyDescent="0.25">
      <c r="D61" s="4">
        <f t="shared" si="9"/>
        <v>0</v>
      </c>
    </row>
    <row r="62" spans="4:4" x14ac:dyDescent="0.25">
      <c r="D62" s="4">
        <f t="shared" si="9"/>
        <v>0</v>
      </c>
    </row>
    <row r="63" spans="4:4" x14ac:dyDescent="0.25">
      <c r="D63" s="4">
        <f t="shared" si="9"/>
        <v>0</v>
      </c>
    </row>
    <row r="64" spans="4:4" x14ac:dyDescent="0.25">
      <c r="D64" s="4">
        <f t="shared" si="9"/>
        <v>0</v>
      </c>
    </row>
    <row r="66" spans="4:4" x14ac:dyDescent="0.25">
      <c r="D66" s="4">
        <f t="shared" si="9"/>
        <v>0</v>
      </c>
    </row>
    <row r="67" spans="4:4" x14ac:dyDescent="0.25">
      <c r="D67" s="219"/>
    </row>
    <row r="68" spans="4:4" x14ac:dyDescent="0.25">
      <c r="D68" s="219"/>
    </row>
    <row r="70" spans="4:4" x14ac:dyDescent="0.25">
      <c r="D70" s="4">
        <f t="shared" si="9"/>
        <v>0</v>
      </c>
    </row>
    <row r="71" spans="4:4" x14ac:dyDescent="0.25">
      <c r="D71" s="4">
        <f t="shared" si="9"/>
        <v>0</v>
      </c>
    </row>
    <row r="72" spans="4:4" x14ac:dyDescent="0.25">
      <c r="D72" s="4">
        <f t="shared" si="9"/>
        <v>0</v>
      </c>
    </row>
    <row r="73" spans="4:4" x14ac:dyDescent="0.25">
      <c r="D73" s="4">
        <f t="shared" si="9"/>
        <v>0</v>
      </c>
    </row>
    <row r="74" spans="4:4" x14ac:dyDescent="0.25">
      <c r="D74" s="4">
        <f t="shared" si="9"/>
        <v>0</v>
      </c>
    </row>
    <row r="75" spans="4:4" x14ac:dyDescent="0.25">
      <c r="D75" s="4">
        <f t="shared" si="9"/>
        <v>0</v>
      </c>
    </row>
    <row r="76" spans="4:4" x14ac:dyDescent="0.25">
      <c r="D76" s="4">
        <f t="shared" si="9"/>
        <v>0</v>
      </c>
    </row>
    <row r="77" spans="4:4" x14ac:dyDescent="0.25">
      <c r="D77" s="4">
        <f t="shared" si="9"/>
        <v>0</v>
      </c>
    </row>
    <row r="78" spans="4:4" x14ac:dyDescent="0.25">
      <c r="D78" s="4">
        <f t="shared" si="9"/>
        <v>0</v>
      </c>
    </row>
    <row r="79" spans="4:4" x14ac:dyDescent="0.25">
      <c r="D79" s="4">
        <f t="shared" si="9"/>
        <v>0</v>
      </c>
    </row>
    <row r="80" spans="4:4" x14ac:dyDescent="0.25">
      <c r="D80" s="4">
        <f t="shared" si="9"/>
        <v>0</v>
      </c>
    </row>
    <row r="81" spans="4:4" x14ac:dyDescent="0.25">
      <c r="D81" s="4">
        <f t="shared" si="9"/>
        <v>0</v>
      </c>
    </row>
    <row r="82" spans="4:4" x14ac:dyDescent="0.25">
      <c r="D82" s="4">
        <f t="shared" si="9"/>
        <v>0</v>
      </c>
    </row>
    <row r="83" spans="4:4" x14ac:dyDescent="0.25">
      <c r="D83" s="4">
        <f t="shared" si="9"/>
        <v>0</v>
      </c>
    </row>
    <row r="84" spans="4:4" x14ac:dyDescent="0.25">
      <c r="D84" s="4">
        <f t="shared" si="9"/>
        <v>0</v>
      </c>
    </row>
    <row r="85" spans="4:4" x14ac:dyDescent="0.25">
      <c r="D85" s="4">
        <f t="shared" si="9"/>
        <v>0</v>
      </c>
    </row>
    <row r="86" spans="4:4" x14ac:dyDescent="0.25">
      <c r="D86" s="4">
        <f t="shared" si="9"/>
        <v>0</v>
      </c>
    </row>
    <row r="87" spans="4:4" x14ac:dyDescent="0.25">
      <c r="D87" s="4">
        <f t="shared" si="9"/>
        <v>0</v>
      </c>
    </row>
    <row r="88" spans="4:4" x14ac:dyDescent="0.25">
      <c r="D88" s="4">
        <f t="shared" si="9"/>
        <v>0</v>
      </c>
    </row>
    <row r="90" spans="4:4" x14ac:dyDescent="0.25">
      <c r="D90" s="4">
        <f t="shared" si="9"/>
        <v>0</v>
      </c>
    </row>
    <row r="91" spans="4:4" x14ac:dyDescent="0.25">
      <c r="D91" s="4">
        <f t="shared" si="9"/>
        <v>0</v>
      </c>
    </row>
    <row r="94" spans="4:4" x14ac:dyDescent="0.25">
      <c r="D94" s="4">
        <f t="shared" si="9"/>
        <v>0</v>
      </c>
    </row>
    <row r="95" spans="4:4" x14ac:dyDescent="0.25">
      <c r="D95" s="4">
        <f t="shared" si="9"/>
        <v>0</v>
      </c>
    </row>
    <row r="96" spans="4:4" x14ac:dyDescent="0.25">
      <c r="D96" s="4">
        <f t="shared" si="9"/>
        <v>0</v>
      </c>
    </row>
    <row r="97" spans="4:4" x14ac:dyDescent="0.25">
      <c r="D97" s="4">
        <f t="shared" si="9"/>
        <v>0</v>
      </c>
    </row>
    <row r="98" spans="4:4" x14ac:dyDescent="0.25">
      <c r="D98" s="4">
        <f t="shared" si="9"/>
        <v>0</v>
      </c>
    </row>
    <row r="99" spans="4:4" x14ac:dyDescent="0.25">
      <c r="D99" s="4">
        <f t="shared" si="9"/>
        <v>0</v>
      </c>
    </row>
    <row r="100" spans="4:4" x14ac:dyDescent="0.25">
      <c r="D100" s="4">
        <f t="shared" si="9"/>
        <v>0</v>
      </c>
    </row>
    <row r="101" spans="4:4" x14ac:dyDescent="0.25">
      <c r="D101" s="4">
        <f t="shared" si="9"/>
        <v>0</v>
      </c>
    </row>
    <row r="102" spans="4:4" x14ac:dyDescent="0.25">
      <c r="D102" s="4">
        <f t="shared" si="9"/>
        <v>0</v>
      </c>
    </row>
    <row r="103" spans="4:4" x14ac:dyDescent="0.25">
      <c r="D103" s="4">
        <f t="shared" si="9"/>
        <v>0</v>
      </c>
    </row>
    <row r="104" spans="4:4" x14ac:dyDescent="0.25">
      <c r="D104" s="4">
        <f t="shared" si="9"/>
        <v>0</v>
      </c>
    </row>
    <row r="105" spans="4:4" x14ac:dyDescent="0.25">
      <c r="D105" s="4">
        <f t="shared" si="9"/>
        <v>0</v>
      </c>
    </row>
    <row r="106" spans="4:4" x14ac:dyDescent="0.25">
      <c r="D106" s="4">
        <f t="shared" si="9"/>
        <v>0</v>
      </c>
    </row>
    <row r="107" spans="4:4" x14ac:dyDescent="0.25">
      <c r="D107" s="4">
        <f t="shared" si="9"/>
        <v>0</v>
      </c>
    </row>
    <row r="108" spans="4:4" x14ac:dyDescent="0.25">
      <c r="D108" s="4">
        <f t="shared" si="9"/>
        <v>0</v>
      </c>
    </row>
    <row r="109" spans="4:4" x14ac:dyDescent="0.25">
      <c r="D109" s="4">
        <f t="shared" si="9"/>
        <v>0</v>
      </c>
    </row>
    <row r="110" spans="4:4" x14ac:dyDescent="0.25">
      <c r="D110" s="4">
        <f t="shared" si="9"/>
        <v>0</v>
      </c>
    </row>
    <row r="111" spans="4:4" x14ac:dyDescent="0.25">
      <c r="D111" s="4">
        <f t="shared" si="9"/>
        <v>0</v>
      </c>
    </row>
    <row r="112" spans="4:4" x14ac:dyDescent="0.25">
      <c r="D112" s="4">
        <f t="shared" si="9"/>
        <v>0</v>
      </c>
    </row>
    <row r="113" spans="4:4" x14ac:dyDescent="0.25">
      <c r="D113" s="4">
        <f t="shared" si="9"/>
        <v>0</v>
      </c>
    </row>
    <row r="114" spans="4:4" x14ac:dyDescent="0.25">
      <c r="D114" s="4">
        <f t="shared" si="9"/>
        <v>0</v>
      </c>
    </row>
  </sheetData>
  <conditionalFormatting sqref="D70:D114 D2:D4">
    <cfRule type="cellIs" dxfId="202" priority="9" operator="greaterThan">
      <formula>49</formula>
    </cfRule>
  </conditionalFormatting>
  <conditionalFormatting sqref="D41:D42">
    <cfRule type="cellIs" dxfId="201" priority="7" operator="greaterThan">
      <formula>49</formula>
    </cfRule>
  </conditionalFormatting>
  <conditionalFormatting sqref="D44:D64">
    <cfRule type="cellIs" dxfId="200" priority="6" operator="greaterThan">
      <formula>49</formula>
    </cfRule>
  </conditionalFormatting>
  <conditionalFormatting sqref="D66">
    <cfRule type="cellIs" dxfId="199" priority="5" operator="greaterThan">
      <formula>49</formula>
    </cfRule>
  </conditionalFormatting>
  <conditionalFormatting sqref="D5:D40">
    <cfRule type="cellIs" dxfId="198" priority="1" operator="greaterThan">
      <formula>49</formula>
    </cfRule>
  </conditionalFormatting>
  <pageMargins left="0.7" right="0.7" top="0.97222222222222221" bottom="0.75" header="0.3" footer="0.3"/>
  <pageSetup orientation="portrait" r:id="rId1"/>
  <headerFooter>
    <oddHeader>&amp;L&amp;"Times New Roman,Regular"Regional Municipality of Halton  
SCADA Standards Manual Section 6 HMI Programming
Appendix 6A HMI Tag Template&amp;R&amp;"Times New Roman,Regular"SCADA STANDARDS 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zoomScaleNormal="100" workbookViewId="0">
      <selection activeCell="Q29" sqref="Q29"/>
    </sheetView>
  </sheetViews>
  <sheetFormatPr defaultRowHeight="15" x14ac:dyDescent="0.25"/>
  <cols>
    <col min="1" max="1" width="23.85546875" customWidth="1"/>
    <col min="2" max="2" width="6" bestFit="1" customWidth="1"/>
    <col min="3" max="3" width="41.42578125" customWidth="1"/>
    <col min="4" max="4" width="16.85546875" customWidth="1"/>
    <col min="5" max="5" width="11.28515625" bestFit="1" customWidth="1"/>
    <col min="6" max="7" width="17.7109375" bestFit="1" customWidth="1"/>
    <col min="8" max="8" width="13.7109375" bestFit="1" customWidth="1"/>
    <col min="9" max="9" width="13.42578125" bestFit="1" customWidth="1"/>
    <col min="10" max="10" width="25.140625" bestFit="1" customWidth="1"/>
    <col min="11" max="12" width="18.140625" bestFit="1" customWidth="1"/>
    <col min="13" max="13" width="24.140625" bestFit="1" customWidth="1"/>
    <col min="14" max="14" width="15" bestFit="1" customWidth="1"/>
    <col min="15" max="15" width="26.7109375" bestFit="1" customWidth="1"/>
    <col min="16" max="16" width="15.42578125" bestFit="1" customWidth="1"/>
    <col min="17" max="17" width="25.28515625" bestFit="1" customWidth="1"/>
    <col min="18" max="18" width="16.140625" bestFit="1" customWidth="1"/>
    <col min="19" max="19" width="34.5703125" bestFit="1" customWidth="1"/>
    <col min="20" max="20" width="19.140625" bestFit="1" customWidth="1"/>
    <col min="21" max="21" width="15.85546875" bestFit="1" customWidth="1"/>
    <col min="22" max="22" width="16" bestFit="1" customWidth="1"/>
    <col min="23" max="23" width="13.28515625" bestFit="1" customWidth="1"/>
  </cols>
  <sheetData>
    <row r="1" spans="1:23" s="262" customFormat="1" x14ac:dyDescent="0.25">
      <c r="A1" s="262" t="s">
        <v>130</v>
      </c>
      <c r="D1" s="5" t="s">
        <v>119</v>
      </c>
    </row>
    <row r="2" spans="1:23" s="262" customFormat="1" x14ac:dyDescent="0.25">
      <c r="A2" s="262" t="s">
        <v>3</v>
      </c>
      <c r="B2" s="262" t="s">
        <v>4</v>
      </c>
      <c r="C2" s="262" t="s">
        <v>5</v>
      </c>
      <c r="D2" s="4">
        <f t="shared" ref="D2:D24" si="0">LEN(C2)</f>
        <v>7</v>
      </c>
      <c r="E2" s="262" t="s">
        <v>6</v>
      </c>
      <c r="F2" s="262" t="s">
        <v>7</v>
      </c>
      <c r="G2" s="262" t="s">
        <v>8</v>
      </c>
      <c r="H2" s="262" t="s">
        <v>9</v>
      </c>
      <c r="I2" s="262" t="s">
        <v>10</v>
      </c>
      <c r="J2" s="262" t="s">
        <v>11</v>
      </c>
      <c r="K2" s="262" t="s">
        <v>12</v>
      </c>
      <c r="L2" s="262" t="s">
        <v>13</v>
      </c>
      <c r="M2" s="262" t="s">
        <v>14</v>
      </c>
      <c r="N2" s="262" t="s">
        <v>15</v>
      </c>
      <c r="O2" s="262" t="s">
        <v>16</v>
      </c>
      <c r="P2" s="262" t="s">
        <v>17</v>
      </c>
      <c r="Q2" s="262" t="s">
        <v>18</v>
      </c>
      <c r="R2" s="262" t="s">
        <v>19</v>
      </c>
      <c r="S2" s="262" t="s">
        <v>20</v>
      </c>
      <c r="T2" s="262" t="s">
        <v>21</v>
      </c>
      <c r="U2" s="262" t="s">
        <v>22</v>
      </c>
      <c r="V2" s="262" t="s">
        <v>23</v>
      </c>
    </row>
    <row r="3" spans="1:23" s="262" customFormat="1" x14ac:dyDescent="0.25">
      <c r="A3" s="2" t="s">
        <v>2</v>
      </c>
      <c r="B3" s="2" t="s">
        <v>419</v>
      </c>
      <c r="C3" s="2" t="s">
        <v>394</v>
      </c>
      <c r="D3" s="4">
        <f t="shared" si="0"/>
        <v>7</v>
      </c>
      <c r="E3" s="262" t="s">
        <v>0</v>
      </c>
      <c r="F3" s="262">
        <v>999</v>
      </c>
      <c r="G3" s="262">
        <v>0</v>
      </c>
      <c r="H3" s="262">
        <v>0</v>
      </c>
      <c r="I3" s="262">
        <v>0</v>
      </c>
      <c r="J3" s="262">
        <v>0</v>
      </c>
      <c r="K3" s="262">
        <v>0</v>
      </c>
      <c r="L3" s="262">
        <v>0</v>
      </c>
      <c r="M3" s="262">
        <v>0</v>
      </c>
      <c r="N3" s="262">
        <v>0</v>
      </c>
    </row>
    <row r="4" spans="1:23" s="262" customFormat="1" x14ac:dyDescent="0.25">
      <c r="A4" s="262" t="s">
        <v>43</v>
      </c>
      <c r="B4" s="262" t="s">
        <v>4</v>
      </c>
      <c r="C4" s="262" t="s">
        <v>5</v>
      </c>
      <c r="D4" s="4">
        <f t="shared" si="0"/>
        <v>7</v>
      </c>
      <c r="E4" s="262" t="s">
        <v>30</v>
      </c>
      <c r="F4" s="262" t="s">
        <v>6</v>
      </c>
      <c r="G4" s="262" t="s">
        <v>7</v>
      </c>
      <c r="H4" s="262" t="s">
        <v>31</v>
      </c>
      <c r="I4" s="262" t="s">
        <v>32</v>
      </c>
      <c r="J4" s="262" t="s">
        <v>33</v>
      </c>
      <c r="K4" s="262" t="s">
        <v>34</v>
      </c>
      <c r="L4" s="262" t="s">
        <v>35</v>
      </c>
      <c r="M4" s="262" t="s">
        <v>36</v>
      </c>
      <c r="N4" s="262" t="s">
        <v>44</v>
      </c>
      <c r="O4" s="262" t="s">
        <v>45</v>
      </c>
      <c r="P4" s="262" t="s">
        <v>46</v>
      </c>
      <c r="Q4" s="262" t="s">
        <v>47</v>
      </c>
      <c r="R4" s="262" t="s">
        <v>48</v>
      </c>
      <c r="S4" s="262" t="s">
        <v>37</v>
      </c>
      <c r="T4" s="262" t="s">
        <v>38</v>
      </c>
      <c r="U4" s="262" t="s">
        <v>15</v>
      </c>
      <c r="V4" s="262" t="s">
        <v>23</v>
      </c>
      <c r="W4" s="262" t="s">
        <v>39</v>
      </c>
    </row>
    <row r="5" spans="1:23" s="262" customFormat="1" x14ac:dyDescent="0.25">
      <c r="A5" s="2" t="str">
        <f>$A$3&amp;"_"&amp;"AAA1_BB1"&amp;"_"&amp;"GA_CC"</f>
        <v>BXX_AAA1_BB1_GA_CC</v>
      </c>
      <c r="B5" s="6" t="str">
        <f>$A$3</f>
        <v>BXX</v>
      </c>
      <c r="C5" s="2" t="s">
        <v>515</v>
      </c>
      <c r="D5" s="4">
        <f t="shared" si="0"/>
        <v>17</v>
      </c>
      <c r="E5" s="262" t="s">
        <v>1</v>
      </c>
      <c r="F5" s="262" t="s">
        <v>1</v>
      </c>
      <c r="G5" s="262">
        <v>0</v>
      </c>
      <c r="H5" s="262" t="s">
        <v>0</v>
      </c>
      <c r="I5" s="262" t="s">
        <v>40</v>
      </c>
      <c r="J5" s="262" t="s">
        <v>50</v>
      </c>
      <c r="K5" s="262" t="s">
        <v>51</v>
      </c>
      <c r="L5" s="262" t="s">
        <v>42</v>
      </c>
      <c r="M5" s="2">
        <v>51</v>
      </c>
      <c r="N5" s="262" t="s">
        <v>49</v>
      </c>
      <c r="O5" s="2" t="s">
        <v>2</v>
      </c>
      <c r="P5" s="262" t="s">
        <v>1</v>
      </c>
      <c r="Q5" s="6" t="str">
        <f>$A$3&amp;"_"&amp;"AAA1_BB1"&amp;"."&amp;"GA_CC"&amp;".eng"</f>
        <v>BXX_AAA1_BB1.GA_CC.eng</v>
      </c>
      <c r="R5" s="262" t="s">
        <v>1</v>
      </c>
      <c r="S5" s="6" t="str">
        <f>C5</f>
        <v>Alarm Description</v>
      </c>
      <c r="T5" s="262">
        <v>0</v>
      </c>
      <c r="U5" s="262">
        <v>0</v>
      </c>
    </row>
    <row r="6" spans="1:23" s="262" customFormat="1" x14ac:dyDescent="0.25">
      <c r="A6" s="6" t="str">
        <f>LEFT(A5,15)&amp;"_RE"</f>
        <v>BXX_AAA1_BB1_GA_RE</v>
      </c>
      <c r="B6" s="6" t="str">
        <f>$A$3</f>
        <v>BXX</v>
      </c>
      <c r="C6" s="6" t="str">
        <f>C5 &amp;" Enable"</f>
        <v>Alarm Description Enable</v>
      </c>
      <c r="D6" s="4">
        <f t="shared" si="0"/>
        <v>24</v>
      </c>
      <c r="E6" s="262" t="s">
        <v>1</v>
      </c>
      <c r="F6" s="262" t="s">
        <v>0</v>
      </c>
      <c r="G6" s="2">
        <v>600</v>
      </c>
      <c r="H6" s="262" t="s">
        <v>0</v>
      </c>
      <c r="I6" s="262" t="s">
        <v>40</v>
      </c>
      <c r="J6" s="262" t="s">
        <v>52</v>
      </c>
      <c r="K6" s="262" t="s">
        <v>53</v>
      </c>
      <c r="L6" s="262" t="s">
        <v>41</v>
      </c>
      <c r="M6" s="220">
        <v>1</v>
      </c>
      <c r="N6" s="262" t="s">
        <v>49</v>
      </c>
      <c r="O6" s="6" t="str">
        <f>$O$5</f>
        <v>BXX</v>
      </c>
      <c r="P6" s="262" t="s">
        <v>1</v>
      </c>
      <c r="Q6" s="6" t="str">
        <f>$A$3&amp;"_"&amp;"AAA1_BB1"&amp;"."&amp;"GA_CC"&amp;".RE"</f>
        <v>BXX_AAA1_BB1.GA_CC.RE</v>
      </c>
      <c r="R6" s="262" t="s">
        <v>1</v>
      </c>
      <c r="S6" s="6" t="str">
        <f>C6</f>
        <v>Alarm Description Enable</v>
      </c>
      <c r="T6" s="262">
        <v>0</v>
      </c>
      <c r="U6" s="262">
        <v>0</v>
      </c>
    </row>
    <row r="7" spans="1:23" s="262" customFormat="1" x14ac:dyDescent="0.25">
      <c r="A7" s="6" t="str">
        <f>LEFT(A5,15)&amp;"_DE"</f>
        <v>BXX_AAA1_BB1_GA_DE</v>
      </c>
      <c r="B7" s="6" t="str">
        <f>$A$3</f>
        <v>BXX</v>
      </c>
      <c r="C7" s="6" t="str">
        <f>$C5&amp;" Dialer En"</f>
        <v>Alarm Description Dialer En</v>
      </c>
      <c r="D7" s="4">
        <f t="shared" si="0"/>
        <v>27</v>
      </c>
      <c r="E7" s="262" t="s">
        <v>1</v>
      </c>
      <c r="F7" s="262" t="s">
        <v>0</v>
      </c>
      <c r="G7" s="2">
        <v>600</v>
      </c>
      <c r="H7" s="262" t="s">
        <v>0</v>
      </c>
      <c r="I7" s="262" t="s">
        <v>40</v>
      </c>
      <c r="J7" s="262" t="s">
        <v>52</v>
      </c>
      <c r="K7" s="262" t="s">
        <v>53</v>
      </c>
      <c r="L7" s="262" t="s">
        <v>41</v>
      </c>
      <c r="M7" s="220">
        <v>1</v>
      </c>
      <c r="N7" s="262" t="s">
        <v>49</v>
      </c>
      <c r="O7" s="6" t="str">
        <f>$O$5</f>
        <v>BXX</v>
      </c>
      <c r="P7" s="262" t="s">
        <v>1</v>
      </c>
      <c r="Q7" s="6" t="str">
        <f>$A$3&amp;"_"&amp;"AAA1_BB1"&amp;"."&amp;"GA_CC"&amp;".DE"</f>
        <v>BXX_AAA1_BB1.GA_CC.DE</v>
      </c>
      <c r="R7" s="262" t="s">
        <v>1</v>
      </c>
      <c r="S7" s="6" t="str">
        <f>C7</f>
        <v>Alarm Description Dialer En</v>
      </c>
      <c r="T7" s="262">
        <v>0</v>
      </c>
      <c r="U7" s="262">
        <v>0</v>
      </c>
    </row>
    <row r="8" spans="1:23" s="262" customFormat="1" x14ac:dyDescent="0.25">
      <c r="A8" s="6" t="str">
        <f>LEFT(A5,15)&amp;"_SR"</f>
        <v>BXX_AAA1_BB1_GA_SR</v>
      </c>
      <c r="B8" s="6" t="str">
        <f>$A$3</f>
        <v>BXX</v>
      </c>
      <c r="C8" s="6" t="str">
        <f>$C5&amp;" Super En"</f>
        <v>Alarm Description Super En</v>
      </c>
      <c r="D8" s="4">
        <f t="shared" si="0"/>
        <v>26</v>
      </c>
      <c r="E8" s="262" t="s">
        <v>1</v>
      </c>
      <c r="F8" s="262" t="s">
        <v>0</v>
      </c>
      <c r="G8" s="2">
        <v>600</v>
      </c>
      <c r="H8" s="262" t="s">
        <v>0</v>
      </c>
      <c r="I8" s="262" t="s">
        <v>40</v>
      </c>
      <c r="J8" s="262" t="s">
        <v>52</v>
      </c>
      <c r="K8" s="262" t="s">
        <v>53</v>
      </c>
      <c r="L8" s="262" t="s">
        <v>41</v>
      </c>
      <c r="M8" s="220">
        <v>1</v>
      </c>
      <c r="N8" s="262" t="s">
        <v>49</v>
      </c>
      <c r="O8" s="6" t="str">
        <f>$O$5</f>
        <v>BXX</v>
      </c>
      <c r="P8" s="262" t="s">
        <v>1</v>
      </c>
      <c r="Q8" s="6" t="str">
        <f>$A$3&amp;"_"&amp;"AAA1_BB1"&amp;"."&amp;"GA_CC"&amp;".SR"</f>
        <v>BXX_AAA1_BB1.GA_CC.SR</v>
      </c>
      <c r="R8" s="262" t="s">
        <v>1</v>
      </c>
      <c r="S8" s="6" t="str">
        <f>C8</f>
        <v>Alarm Description Super En</v>
      </c>
      <c r="T8" s="262">
        <v>0</v>
      </c>
      <c r="U8" s="262">
        <v>0</v>
      </c>
    </row>
    <row r="9" spans="1:23" s="262" customFormat="1" x14ac:dyDescent="0.25">
      <c r="A9" s="262" t="s">
        <v>115</v>
      </c>
      <c r="B9" s="262" t="s">
        <v>4</v>
      </c>
      <c r="C9" s="262" t="s">
        <v>5</v>
      </c>
      <c r="D9" s="4">
        <f t="shared" si="0"/>
        <v>7</v>
      </c>
      <c r="E9" s="262" t="s">
        <v>30</v>
      </c>
      <c r="F9" s="262" t="s">
        <v>6</v>
      </c>
      <c r="G9" s="262" t="s">
        <v>7</v>
      </c>
      <c r="H9" s="262" t="s">
        <v>31</v>
      </c>
      <c r="I9" s="262" t="s">
        <v>113</v>
      </c>
      <c r="J9" s="262" t="s">
        <v>114</v>
      </c>
      <c r="K9" s="262" t="s">
        <v>45</v>
      </c>
      <c r="L9" s="262" t="s">
        <v>46</v>
      </c>
      <c r="M9" s="262" t="s">
        <v>47</v>
      </c>
      <c r="N9" s="262" t="s">
        <v>48</v>
      </c>
      <c r="O9" s="262" t="s">
        <v>37</v>
      </c>
      <c r="P9" s="262" t="s">
        <v>39</v>
      </c>
    </row>
    <row r="10" spans="1:23" s="262" customFormat="1" x14ac:dyDescent="0.25">
      <c r="A10" s="6" t="str">
        <f>LEFT($A$5,15)&amp;"_RN"</f>
        <v>BXX_AAA1_BB1_GA_RN</v>
      </c>
      <c r="B10" s="6" t="str">
        <f>$A$3</f>
        <v>BXX</v>
      </c>
      <c r="C10" s="6" t="str">
        <f>$C$5 &amp; " Dis Reason"</f>
        <v>Alarm Description Dis Reason</v>
      </c>
      <c r="D10" s="4">
        <f t="shared" si="0"/>
        <v>28</v>
      </c>
      <c r="E10" s="262" t="s">
        <v>1</v>
      </c>
      <c r="F10" s="262" t="s">
        <v>1</v>
      </c>
      <c r="G10" s="262">
        <v>0</v>
      </c>
      <c r="H10" s="262" t="s">
        <v>0</v>
      </c>
      <c r="I10" s="262">
        <v>131</v>
      </c>
      <c r="J10" s="262" t="s">
        <v>123</v>
      </c>
      <c r="K10" s="2" t="s">
        <v>124</v>
      </c>
      <c r="L10" s="262" t="s">
        <v>0</v>
      </c>
      <c r="M10" s="6" t="str">
        <f>A10</f>
        <v>BXX_AAA1_BB1_GA_RN</v>
      </c>
      <c r="N10" s="262" t="s">
        <v>1</v>
      </c>
      <c r="O10" s="6" t="str">
        <f>C10</f>
        <v>Alarm Description Dis Reason</v>
      </c>
    </row>
    <row r="11" spans="1:23" s="262" customFormat="1" x14ac:dyDescent="0.25">
      <c r="A11" s="262" t="s">
        <v>43</v>
      </c>
      <c r="B11" s="262" t="s">
        <v>4</v>
      </c>
      <c r="C11" s="262" t="s">
        <v>5</v>
      </c>
      <c r="D11" s="4">
        <f t="shared" si="0"/>
        <v>7</v>
      </c>
      <c r="E11" s="262" t="s">
        <v>30</v>
      </c>
      <c r="F11" s="262" t="s">
        <v>6</v>
      </c>
      <c r="G11" s="262" t="s">
        <v>7</v>
      </c>
      <c r="H11" s="262" t="s">
        <v>31</v>
      </c>
      <c r="I11" s="262" t="s">
        <v>32</v>
      </c>
      <c r="J11" s="262" t="s">
        <v>33</v>
      </c>
      <c r="K11" s="262" t="s">
        <v>34</v>
      </c>
      <c r="L11" s="262" t="s">
        <v>35</v>
      </c>
      <c r="M11" s="262" t="s">
        <v>36</v>
      </c>
      <c r="N11" s="262" t="s">
        <v>44</v>
      </c>
      <c r="O11" s="262" t="s">
        <v>45</v>
      </c>
      <c r="P11" s="262" t="s">
        <v>46</v>
      </c>
      <c r="Q11" s="262" t="s">
        <v>47</v>
      </c>
      <c r="R11" s="262" t="s">
        <v>48</v>
      </c>
      <c r="S11" s="262" t="s">
        <v>37</v>
      </c>
      <c r="T11" s="262" t="s">
        <v>38</v>
      </c>
      <c r="U11" s="262" t="s">
        <v>15</v>
      </c>
      <c r="V11" s="262" t="s">
        <v>23</v>
      </c>
      <c r="W11" s="262" t="s">
        <v>39</v>
      </c>
    </row>
    <row r="12" spans="1:23" s="262" customFormat="1" x14ac:dyDescent="0.25">
      <c r="A12" s="2" t="str">
        <f>$A$3&amp;"_"&amp;"EEE1_FF1"&amp;"_"&amp;"DA_GG"</f>
        <v>BXX_EEE1_FF1_DA_GG</v>
      </c>
      <c r="B12" s="6" t="str">
        <f>$A$3</f>
        <v>BXX</v>
      </c>
      <c r="C12" s="2" t="s">
        <v>516</v>
      </c>
      <c r="D12" s="4">
        <f t="shared" si="0"/>
        <v>19</v>
      </c>
      <c r="E12" s="262" t="s">
        <v>1</v>
      </c>
      <c r="F12" s="262" t="s">
        <v>1</v>
      </c>
      <c r="G12" s="262">
        <v>0</v>
      </c>
      <c r="H12" s="262" t="s">
        <v>0</v>
      </c>
      <c r="I12" s="262" t="s">
        <v>40</v>
      </c>
      <c r="J12" s="262" t="s">
        <v>50</v>
      </c>
      <c r="K12" s="262" t="s">
        <v>51</v>
      </c>
      <c r="L12" s="262" t="s">
        <v>42</v>
      </c>
      <c r="M12" s="2">
        <v>51</v>
      </c>
      <c r="N12" s="262" t="s">
        <v>49</v>
      </c>
      <c r="O12" s="6" t="str">
        <f>$O$5</f>
        <v>BXX</v>
      </c>
      <c r="P12" s="262" t="s">
        <v>1</v>
      </c>
      <c r="Q12" s="6" t="str">
        <f>$A$3&amp;"_"&amp;"EEE1_FF1"&amp;"."&amp;"DA_GG"&amp;".eng"</f>
        <v>BXX_EEE1_FF1.DA_GG.eng</v>
      </c>
      <c r="R12" s="262" t="s">
        <v>1</v>
      </c>
      <c r="S12" s="6" t="str">
        <f>C12</f>
        <v>Alarm Description 2</v>
      </c>
      <c r="T12" s="262">
        <v>0</v>
      </c>
      <c r="U12" s="262">
        <v>0</v>
      </c>
    </row>
    <row r="13" spans="1:23" s="262" customFormat="1" x14ac:dyDescent="0.25">
      <c r="A13" s="6" t="str">
        <f>LEFT(A12,18)&amp;"_RE"</f>
        <v>BXX_EEE1_FF1_DA_GG_RE</v>
      </c>
      <c r="B13" s="6" t="str">
        <f>$A$3</f>
        <v>BXX</v>
      </c>
      <c r="C13" s="6" t="str">
        <f>C12 &amp;" Enable"</f>
        <v>Alarm Description 2 Enable</v>
      </c>
      <c r="D13" s="4">
        <f t="shared" si="0"/>
        <v>26</v>
      </c>
      <c r="E13" s="262" t="s">
        <v>1</v>
      </c>
      <c r="F13" s="262" t="s">
        <v>0</v>
      </c>
      <c r="G13" s="2">
        <v>600</v>
      </c>
      <c r="H13" s="262" t="s">
        <v>0</v>
      </c>
      <c r="I13" s="262" t="s">
        <v>40</v>
      </c>
      <c r="J13" s="262" t="s">
        <v>52</v>
      </c>
      <c r="K13" s="262" t="s">
        <v>53</v>
      </c>
      <c r="L13" s="262" t="s">
        <v>41</v>
      </c>
      <c r="M13" s="220">
        <v>1</v>
      </c>
      <c r="N13" s="262" t="s">
        <v>49</v>
      </c>
      <c r="O13" s="6" t="str">
        <f>$O$5</f>
        <v>BXX</v>
      </c>
      <c r="P13" s="262" t="s">
        <v>1</v>
      </c>
      <c r="Q13" s="6" t="str">
        <f>$A$3&amp;"_"&amp;"EEE1_FF1"&amp;"."&amp;"DA_GG"&amp;".RE"</f>
        <v>BXX_EEE1_FF1.DA_GG.RE</v>
      </c>
      <c r="R13" s="262" t="s">
        <v>1</v>
      </c>
      <c r="S13" s="6" t="str">
        <f>C13</f>
        <v>Alarm Description 2 Enable</v>
      </c>
      <c r="T13" s="262">
        <v>0</v>
      </c>
      <c r="U13" s="262">
        <v>0</v>
      </c>
    </row>
    <row r="14" spans="1:23" s="262" customFormat="1" x14ac:dyDescent="0.25">
      <c r="A14" s="6" t="str">
        <f>LEFT(A12,18)&amp;"_DE"</f>
        <v>BXX_EEE1_FF1_DA_GG_DE</v>
      </c>
      <c r="B14" s="6" t="str">
        <f>$A$3</f>
        <v>BXX</v>
      </c>
      <c r="C14" s="6" t="str">
        <f>$C12&amp;" Dialer En"</f>
        <v>Alarm Description 2 Dialer En</v>
      </c>
      <c r="D14" s="4">
        <f t="shared" si="0"/>
        <v>29</v>
      </c>
      <c r="E14" s="262" t="s">
        <v>1</v>
      </c>
      <c r="F14" s="262" t="s">
        <v>0</v>
      </c>
      <c r="G14" s="2">
        <v>600</v>
      </c>
      <c r="H14" s="262" t="s">
        <v>0</v>
      </c>
      <c r="I14" s="262" t="s">
        <v>40</v>
      </c>
      <c r="J14" s="262" t="s">
        <v>52</v>
      </c>
      <c r="K14" s="262" t="s">
        <v>53</v>
      </c>
      <c r="L14" s="262" t="s">
        <v>41</v>
      </c>
      <c r="M14" s="220">
        <v>1</v>
      </c>
      <c r="N14" s="262" t="s">
        <v>49</v>
      </c>
      <c r="O14" s="6" t="str">
        <f>$O$5</f>
        <v>BXX</v>
      </c>
      <c r="P14" s="262" t="s">
        <v>1</v>
      </c>
      <c r="Q14" s="6" t="str">
        <f>$A$3&amp;"_"&amp;"EEE1_FF1"&amp;"."&amp;"DA_GG"&amp;".DE"</f>
        <v>BXX_EEE1_FF1.DA_GG.DE</v>
      </c>
      <c r="R14" s="262" t="s">
        <v>1</v>
      </c>
      <c r="S14" s="6" t="str">
        <f>C14</f>
        <v>Alarm Description 2 Dialer En</v>
      </c>
      <c r="T14" s="262">
        <v>0</v>
      </c>
      <c r="U14" s="262">
        <v>0</v>
      </c>
    </row>
    <row r="15" spans="1:23" s="262" customFormat="1" x14ac:dyDescent="0.25">
      <c r="A15" s="6" t="str">
        <f>LEFT(A12,18)&amp;"_SR"</f>
        <v>BXX_EEE1_FF1_DA_GG_SR</v>
      </c>
      <c r="B15" s="6" t="str">
        <f>$A$3</f>
        <v>BXX</v>
      </c>
      <c r="C15" s="6" t="str">
        <f>$C12&amp;" Super En"</f>
        <v>Alarm Description 2 Super En</v>
      </c>
      <c r="D15" s="4">
        <f t="shared" si="0"/>
        <v>28</v>
      </c>
      <c r="E15" s="262" t="s">
        <v>1</v>
      </c>
      <c r="F15" s="262" t="s">
        <v>0</v>
      </c>
      <c r="G15" s="2">
        <v>600</v>
      </c>
      <c r="H15" s="262" t="s">
        <v>0</v>
      </c>
      <c r="I15" s="262" t="s">
        <v>40</v>
      </c>
      <c r="J15" s="262" t="s">
        <v>52</v>
      </c>
      <c r="K15" s="262" t="s">
        <v>53</v>
      </c>
      <c r="L15" s="262" t="s">
        <v>41</v>
      </c>
      <c r="M15" s="220">
        <v>1</v>
      </c>
      <c r="N15" s="262" t="s">
        <v>49</v>
      </c>
      <c r="O15" s="6" t="str">
        <f>$O$5</f>
        <v>BXX</v>
      </c>
      <c r="P15" s="262" t="s">
        <v>1</v>
      </c>
      <c r="Q15" s="6" t="str">
        <f>$A$3&amp;"_"&amp;"EEE1_FF1"&amp;"."&amp;"DA_GG"&amp;".SR"</f>
        <v>BXX_EEE1_FF1.DA_GG.SR</v>
      </c>
      <c r="R15" s="262" t="s">
        <v>1</v>
      </c>
      <c r="S15" s="6" t="str">
        <f>C15</f>
        <v>Alarm Description 2 Super En</v>
      </c>
      <c r="T15" s="262">
        <v>0</v>
      </c>
      <c r="U15" s="262">
        <v>0</v>
      </c>
    </row>
    <row r="16" spans="1:23" s="262" customFormat="1" x14ac:dyDescent="0.25">
      <c r="A16" s="262" t="s">
        <v>115</v>
      </c>
      <c r="B16" s="262" t="s">
        <v>4</v>
      </c>
      <c r="C16" s="262" t="s">
        <v>5</v>
      </c>
      <c r="D16" s="4">
        <f t="shared" si="0"/>
        <v>7</v>
      </c>
      <c r="E16" s="262" t="s">
        <v>30</v>
      </c>
      <c r="F16" s="262" t="s">
        <v>6</v>
      </c>
      <c r="G16" s="262" t="s">
        <v>7</v>
      </c>
      <c r="H16" s="262" t="s">
        <v>31</v>
      </c>
      <c r="I16" s="262" t="s">
        <v>113</v>
      </c>
      <c r="J16" s="262" t="s">
        <v>114</v>
      </c>
      <c r="K16" s="262" t="s">
        <v>45</v>
      </c>
      <c r="L16" s="262" t="s">
        <v>46</v>
      </c>
      <c r="M16" s="262" t="s">
        <v>47</v>
      </c>
      <c r="N16" s="262" t="s">
        <v>48</v>
      </c>
      <c r="O16" s="262" t="s">
        <v>37</v>
      </c>
      <c r="P16" s="262" t="s">
        <v>39</v>
      </c>
    </row>
    <row r="17" spans="1:23" s="262" customFormat="1" x14ac:dyDescent="0.25">
      <c r="A17" s="6" t="str">
        <f>LEFT((A12),18)&amp;"_RN"</f>
        <v>BXX_EEE1_FF1_DA_GG_RN</v>
      </c>
      <c r="B17" s="6" t="str">
        <f>$A$3</f>
        <v>BXX</v>
      </c>
      <c r="C17" s="6" t="str">
        <f>C12 &amp; " Dis Reason"</f>
        <v>Alarm Description 2 Dis Reason</v>
      </c>
      <c r="D17" s="4">
        <f t="shared" si="0"/>
        <v>30</v>
      </c>
      <c r="E17" s="262" t="s">
        <v>1</v>
      </c>
      <c r="F17" s="262" t="s">
        <v>1</v>
      </c>
      <c r="G17" s="262">
        <v>0</v>
      </c>
      <c r="H17" s="262" t="s">
        <v>0</v>
      </c>
      <c r="I17" s="262">
        <v>131</v>
      </c>
      <c r="J17" s="262" t="s">
        <v>123</v>
      </c>
      <c r="K17" s="6" t="str">
        <f>$K$10</f>
        <v>BXXCPU01_1</v>
      </c>
      <c r="L17" s="262" t="s">
        <v>0</v>
      </c>
      <c r="M17" s="6" t="str">
        <f>A17</f>
        <v>BXX_EEE1_FF1_DA_GG_RN</v>
      </c>
      <c r="N17" s="262" t="s">
        <v>1</v>
      </c>
      <c r="O17" s="6" t="str">
        <f>C17</f>
        <v>Alarm Description 2 Dis Reason</v>
      </c>
    </row>
    <row r="18" spans="1:23" s="262" customFormat="1" x14ac:dyDescent="0.25">
      <c r="A18" s="262" t="s">
        <v>43</v>
      </c>
      <c r="B18" s="262" t="s">
        <v>4</v>
      </c>
      <c r="C18" s="262" t="s">
        <v>5</v>
      </c>
      <c r="D18" s="4">
        <f t="shared" si="0"/>
        <v>7</v>
      </c>
      <c r="E18" s="262" t="s">
        <v>30</v>
      </c>
      <c r="F18" s="262" t="s">
        <v>6</v>
      </c>
      <c r="G18" s="262" t="s">
        <v>7</v>
      </c>
      <c r="H18" s="262" t="s">
        <v>31</v>
      </c>
      <c r="I18" s="262" t="s">
        <v>32</v>
      </c>
      <c r="J18" s="262" t="s">
        <v>33</v>
      </c>
      <c r="K18" s="262" t="s">
        <v>34</v>
      </c>
      <c r="L18" s="262" t="s">
        <v>35</v>
      </c>
      <c r="M18" s="262" t="s">
        <v>36</v>
      </c>
      <c r="N18" s="262" t="s">
        <v>44</v>
      </c>
      <c r="O18" s="262" t="s">
        <v>45</v>
      </c>
      <c r="P18" s="262" t="s">
        <v>46</v>
      </c>
      <c r="Q18" s="262" t="s">
        <v>47</v>
      </c>
      <c r="R18" s="262" t="s">
        <v>48</v>
      </c>
      <c r="S18" s="262" t="s">
        <v>37</v>
      </c>
      <c r="T18" s="262" t="s">
        <v>38</v>
      </c>
      <c r="U18" s="262" t="s">
        <v>15</v>
      </c>
      <c r="V18" s="262" t="s">
        <v>23</v>
      </c>
      <c r="W18" s="262" t="s">
        <v>39</v>
      </c>
    </row>
    <row r="19" spans="1:23" s="262" customFormat="1" x14ac:dyDescent="0.25">
      <c r="A19" s="2" t="str">
        <f>$A$3&amp;"_"&amp;"HHH1_II1"&amp;"_"&amp;"DA_JJ"</f>
        <v>BXX_HHH1_II1_DA_JJ</v>
      </c>
      <c r="B19" s="6" t="str">
        <f>$A$3</f>
        <v>BXX</v>
      </c>
      <c r="C19" s="2" t="s">
        <v>519</v>
      </c>
      <c r="D19" s="4">
        <f t="shared" si="0"/>
        <v>19</v>
      </c>
      <c r="E19" s="262" t="s">
        <v>1</v>
      </c>
      <c r="F19" s="262" t="s">
        <v>1</v>
      </c>
      <c r="G19" s="262">
        <v>0</v>
      </c>
      <c r="H19" s="262" t="s">
        <v>0</v>
      </c>
      <c r="I19" s="262" t="s">
        <v>40</v>
      </c>
      <c r="J19" s="262" t="s">
        <v>50</v>
      </c>
      <c r="K19" s="262" t="s">
        <v>51</v>
      </c>
      <c r="L19" s="262" t="s">
        <v>42</v>
      </c>
      <c r="M19" s="2">
        <v>51</v>
      </c>
      <c r="N19" s="262" t="s">
        <v>49</v>
      </c>
      <c r="O19" s="6" t="str">
        <f>$O$5</f>
        <v>BXX</v>
      </c>
      <c r="P19" s="262" t="s">
        <v>1</v>
      </c>
      <c r="Q19" s="6" t="str">
        <f>$A$3&amp;"_"&amp;"HHH1_II1"&amp;"."&amp;"DA_JJ"&amp;".eng"</f>
        <v>BXX_HHH1_II1.DA_JJ.eng</v>
      </c>
      <c r="R19" s="262" t="s">
        <v>1</v>
      </c>
      <c r="S19" s="6" t="str">
        <f>C19</f>
        <v>Alarm Description 3</v>
      </c>
      <c r="T19" s="262">
        <v>0</v>
      </c>
      <c r="U19" s="262">
        <v>0</v>
      </c>
    </row>
    <row r="20" spans="1:23" s="262" customFormat="1" x14ac:dyDescent="0.25">
      <c r="A20" s="6" t="str">
        <f>LEFT(A19,18)&amp;"_RE"</f>
        <v>BXX_HHH1_II1_DA_JJ_RE</v>
      </c>
      <c r="B20" s="6" t="str">
        <f>$A$3</f>
        <v>BXX</v>
      </c>
      <c r="C20" s="6" t="str">
        <f>C19 &amp;" Enable"</f>
        <v>Alarm Description 3 Enable</v>
      </c>
      <c r="D20" s="4">
        <f t="shared" si="0"/>
        <v>26</v>
      </c>
      <c r="E20" s="262" t="s">
        <v>1</v>
      </c>
      <c r="F20" s="262" t="s">
        <v>0</v>
      </c>
      <c r="G20" s="2">
        <v>600</v>
      </c>
      <c r="H20" s="262" t="s">
        <v>0</v>
      </c>
      <c r="I20" s="262" t="s">
        <v>40</v>
      </c>
      <c r="J20" s="262" t="s">
        <v>52</v>
      </c>
      <c r="K20" s="262" t="s">
        <v>53</v>
      </c>
      <c r="L20" s="262" t="s">
        <v>41</v>
      </c>
      <c r="M20" s="220">
        <v>1</v>
      </c>
      <c r="N20" s="262" t="s">
        <v>49</v>
      </c>
      <c r="O20" s="6" t="str">
        <f>$O$5</f>
        <v>BXX</v>
      </c>
      <c r="P20" s="262" t="s">
        <v>1</v>
      </c>
      <c r="Q20" s="6" t="str">
        <f>$A$3&amp;"_"&amp;"HHH1_II1"&amp;"."&amp;"DA_JJ"&amp;".RE"</f>
        <v>BXX_HHH1_II1.DA_JJ.RE</v>
      </c>
      <c r="R20" s="262" t="s">
        <v>1</v>
      </c>
      <c r="S20" s="6" t="str">
        <f>C20</f>
        <v>Alarm Description 3 Enable</v>
      </c>
      <c r="T20" s="262">
        <v>0</v>
      </c>
      <c r="U20" s="262">
        <v>0</v>
      </c>
    </row>
    <row r="21" spans="1:23" s="262" customFormat="1" x14ac:dyDescent="0.25">
      <c r="A21" s="6" t="str">
        <f>LEFT(A19,18)&amp;"_DE"</f>
        <v>BXX_HHH1_II1_DA_JJ_DE</v>
      </c>
      <c r="B21" s="6" t="str">
        <f>$A$3</f>
        <v>BXX</v>
      </c>
      <c r="C21" s="6" t="str">
        <f>$C19&amp;" Dialer En"</f>
        <v>Alarm Description 3 Dialer En</v>
      </c>
      <c r="D21" s="4">
        <f t="shared" si="0"/>
        <v>29</v>
      </c>
      <c r="E21" s="262" t="s">
        <v>1</v>
      </c>
      <c r="F21" s="262" t="s">
        <v>0</v>
      </c>
      <c r="G21" s="2">
        <v>600</v>
      </c>
      <c r="H21" s="262" t="s">
        <v>0</v>
      </c>
      <c r="I21" s="262" t="s">
        <v>40</v>
      </c>
      <c r="J21" s="262" t="s">
        <v>52</v>
      </c>
      <c r="K21" s="262" t="s">
        <v>53</v>
      </c>
      <c r="L21" s="262" t="s">
        <v>41</v>
      </c>
      <c r="M21" s="220">
        <v>1</v>
      </c>
      <c r="N21" s="262" t="s">
        <v>49</v>
      </c>
      <c r="O21" s="6" t="str">
        <f>$O$5</f>
        <v>BXX</v>
      </c>
      <c r="P21" s="262" t="s">
        <v>1</v>
      </c>
      <c r="Q21" s="6" t="str">
        <f>$A$3&amp;"_"&amp;"HHH1_II1"&amp;"."&amp;"DA_JJ"&amp;".DE"</f>
        <v>BXX_HHH1_II1.DA_JJ.DE</v>
      </c>
      <c r="R21" s="262" t="s">
        <v>1</v>
      </c>
      <c r="S21" s="6" t="str">
        <f>C21</f>
        <v>Alarm Description 3 Dialer En</v>
      </c>
      <c r="T21" s="262">
        <v>0</v>
      </c>
      <c r="U21" s="262">
        <v>0</v>
      </c>
    </row>
    <row r="22" spans="1:23" s="262" customFormat="1" x14ac:dyDescent="0.25">
      <c r="A22" s="6" t="str">
        <f>LEFT(A19,18)&amp;"_SR"</f>
        <v>BXX_HHH1_II1_DA_JJ_SR</v>
      </c>
      <c r="B22" s="6" t="str">
        <f>$A$3</f>
        <v>BXX</v>
      </c>
      <c r="C22" s="6" t="str">
        <f>$C19&amp;" Super En"</f>
        <v>Alarm Description 3 Super En</v>
      </c>
      <c r="D22" s="4">
        <f t="shared" si="0"/>
        <v>28</v>
      </c>
      <c r="E22" s="262" t="s">
        <v>1</v>
      </c>
      <c r="F22" s="262" t="s">
        <v>0</v>
      </c>
      <c r="G22" s="2">
        <v>600</v>
      </c>
      <c r="H22" s="262" t="s">
        <v>0</v>
      </c>
      <c r="I22" s="262" t="s">
        <v>40</v>
      </c>
      <c r="J22" s="262" t="s">
        <v>52</v>
      </c>
      <c r="K22" s="262" t="s">
        <v>53</v>
      </c>
      <c r="L22" s="262" t="s">
        <v>41</v>
      </c>
      <c r="M22" s="220">
        <v>1</v>
      </c>
      <c r="N22" s="262" t="s">
        <v>49</v>
      </c>
      <c r="O22" s="6" t="str">
        <f>$O$5</f>
        <v>BXX</v>
      </c>
      <c r="P22" s="262" t="s">
        <v>1</v>
      </c>
      <c r="Q22" s="6" t="str">
        <f>$A$3&amp;"_"&amp;"HHH1_II1"&amp;"."&amp;"DA_JJ"&amp;".SR"</f>
        <v>BXX_HHH1_II1.DA_JJ.SR</v>
      </c>
      <c r="R22" s="262" t="s">
        <v>1</v>
      </c>
      <c r="S22" s="6" t="str">
        <f>C22</f>
        <v>Alarm Description 3 Super En</v>
      </c>
      <c r="T22" s="262">
        <v>0</v>
      </c>
      <c r="U22" s="262">
        <v>0</v>
      </c>
    </row>
    <row r="23" spans="1:23" s="262" customFormat="1" x14ac:dyDescent="0.25">
      <c r="A23" s="262" t="s">
        <v>115</v>
      </c>
      <c r="B23" s="262" t="s">
        <v>4</v>
      </c>
      <c r="C23" s="262" t="s">
        <v>5</v>
      </c>
      <c r="D23" s="4">
        <f t="shared" si="0"/>
        <v>7</v>
      </c>
      <c r="E23" s="262" t="s">
        <v>30</v>
      </c>
      <c r="F23" s="262" t="s">
        <v>6</v>
      </c>
      <c r="G23" s="262" t="s">
        <v>7</v>
      </c>
      <c r="H23" s="262" t="s">
        <v>31</v>
      </c>
      <c r="I23" s="262" t="s">
        <v>113</v>
      </c>
      <c r="J23" s="262" t="s">
        <v>114</v>
      </c>
      <c r="K23" s="262" t="s">
        <v>45</v>
      </c>
      <c r="L23" s="262" t="s">
        <v>46</v>
      </c>
      <c r="M23" s="262" t="s">
        <v>47</v>
      </c>
      <c r="N23" s="262" t="s">
        <v>48</v>
      </c>
      <c r="O23" s="262" t="s">
        <v>37</v>
      </c>
      <c r="P23" s="262" t="s">
        <v>39</v>
      </c>
    </row>
    <row r="24" spans="1:23" s="262" customFormat="1" x14ac:dyDescent="0.25">
      <c r="A24" s="6" t="str">
        <f>LEFT((A19),18)&amp;"_RN"</f>
        <v>BXX_HHH1_II1_DA_JJ_RN</v>
      </c>
      <c r="B24" s="6" t="str">
        <f>$A$3</f>
        <v>BXX</v>
      </c>
      <c r="C24" s="6" t="str">
        <f>C19 &amp; " Dis Reason"</f>
        <v>Alarm Description 3 Dis Reason</v>
      </c>
      <c r="D24" s="4">
        <f t="shared" si="0"/>
        <v>30</v>
      </c>
      <c r="E24" s="262" t="s">
        <v>1</v>
      </c>
      <c r="F24" s="262" t="s">
        <v>1</v>
      </c>
      <c r="G24" s="262">
        <v>0</v>
      </c>
      <c r="H24" s="262" t="s">
        <v>0</v>
      </c>
      <c r="I24" s="262">
        <v>131</v>
      </c>
      <c r="J24" s="262" t="s">
        <v>123</v>
      </c>
      <c r="K24" s="6" t="str">
        <f>$K$10</f>
        <v>BXXCPU01_1</v>
      </c>
      <c r="L24" s="262" t="s">
        <v>0</v>
      </c>
      <c r="M24" s="6" t="str">
        <f>A24</f>
        <v>BXX_HHH1_II1_DA_JJ_RN</v>
      </c>
      <c r="N24" s="262" t="s">
        <v>1</v>
      </c>
      <c r="O24" s="6" t="str">
        <f>C24</f>
        <v>Alarm Description 3 Dis Reason</v>
      </c>
    </row>
  </sheetData>
  <conditionalFormatting sqref="D2">
    <cfRule type="cellIs" dxfId="197" priority="31" operator="greaterThan">
      <formula>49</formula>
    </cfRule>
  </conditionalFormatting>
  <conditionalFormatting sqref="D3">
    <cfRule type="cellIs" dxfId="196" priority="30" operator="greaterThan">
      <formula>49</formula>
    </cfRule>
  </conditionalFormatting>
  <conditionalFormatting sqref="D4">
    <cfRule type="cellIs" dxfId="195" priority="29" operator="greaterThan">
      <formula>49</formula>
    </cfRule>
  </conditionalFormatting>
  <conditionalFormatting sqref="D7">
    <cfRule type="cellIs" dxfId="194" priority="22" operator="greaterThan">
      <formula>49</formula>
    </cfRule>
  </conditionalFormatting>
  <conditionalFormatting sqref="D8">
    <cfRule type="cellIs" dxfId="193" priority="21" operator="greaterThan">
      <formula>49</formula>
    </cfRule>
  </conditionalFormatting>
  <conditionalFormatting sqref="D5">
    <cfRule type="cellIs" dxfId="192" priority="24" operator="greaterThan">
      <formula>49</formula>
    </cfRule>
  </conditionalFormatting>
  <conditionalFormatting sqref="D6">
    <cfRule type="cellIs" dxfId="191" priority="23" operator="greaterThan">
      <formula>49</formula>
    </cfRule>
  </conditionalFormatting>
  <conditionalFormatting sqref="D13">
    <cfRule type="cellIs" dxfId="190" priority="17" operator="greaterThan">
      <formula>49</formula>
    </cfRule>
  </conditionalFormatting>
  <conditionalFormatting sqref="D14">
    <cfRule type="cellIs" dxfId="189" priority="16" operator="greaterThan">
      <formula>49</formula>
    </cfRule>
  </conditionalFormatting>
  <conditionalFormatting sqref="D15">
    <cfRule type="cellIs" dxfId="188" priority="15" operator="greaterThan">
      <formula>49</formula>
    </cfRule>
  </conditionalFormatting>
  <conditionalFormatting sqref="D12">
    <cfRule type="cellIs" dxfId="187" priority="18" operator="greaterThan">
      <formula>49</formula>
    </cfRule>
  </conditionalFormatting>
  <conditionalFormatting sqref="D16">
    <cfRule type="cellIs" dxfId="186" priority="13" operator="greaterThan">
      <formula>49</formula>
    </cfRule>
  </conditionalFormatting>
  <conditionalFormatting sqref="D21">
    <cfRule type="cellIs" dxfId="185" priority="5" operator="greaterThan">
      <formula>49</formula>
    </cfRule>
  </conditionalFormatting>
  <conditionalFormatting sqref="D17">
    <cfRule type="cellIs" dxfId="184" priority="11" operator="greaterThan">
      <formula>49</formula>
    </cfRule>
  </conditionalFormatting>
  <conditionalFormatting sqref="D9">
    <cfRule type="cellIs" dxfId="183" priority="10" operator="greaterThan">
      <formula>49</formula>
    </cfRule>
  </conditionalFormatting>
  <conditionalFormatting sqref="D10">
    <cfRule type="cellIs" dxfId="182" priority="9" operator="greaterThan">
      <formula>49</formula>
    </cfRule>
  </conditionalFormatting>
  <conditionalFormatting sqref="D11">
    <cfRule type="cellIs" dxfId="181" priority="8" operator="greaterThan">
      <formula>49</formula>
    </cfRule>
  </conditionalFormatting>
  <conditionalFormatting sqref="D20">
    <cfRule type="cellIs" dxfId="180" priority="6" operator="greaterThan">
      <formula>49</formula>
    </cfRule>
  </conditionalFormatting>
  <conditionalFormatting sqref="D22">
    <cfRule type="cellIs" dxfId="179" priority="4" operator="greaterThan">
      <formula>49</formula>
    </cfRule>
  </conditionalFormatting>
  <conditionalFormatting sqref="D19">
    <cfRule type="cellIs" dxfId="178" priority="7" operator="greaterThan">
      <formula>49</formula>
    </cfRule>
  </conditionalFormatting>
  <conditionalFormatting sqref="D23">
    <cfRule type="cellIs" dxfId="177" priority="3" operator="greaterThan">
      <formula>49</formula>
    </cfRule>
  </conditionalFormatting>
  <conditionalFormatting sqref="D24">
    <cfRule type="cellIs" dxfId="176" priority="2" operator="greaterThan">
      <formula>49</formula>
    </cfRule>
  </conditionalFormatting>
  <conditionalFormatting sqref="D18">
    <cfRule type="cellIs" dxfId="175" priority="1" operator="greaterThan">
      <formula>49</formula>
    </cfRule>
  </conditionalFormatting>
  <pageMargins left="0.7" right="0.7" top="0.97222222222222221" bottom="0.75" header="0.3" footer="0.3"/>
  <pageSetup orientation="portrait" r:id="rId1"/>
  <headerFooter>
    <oddHeader>&amp;L&amp;"Times New Roman,Regular"Regional Municipality of Halton  
SCADA Standards Manual Section 6 HMI Programming
Appendix 6A HMI Tag Template&amp;R&amp;"Times New Roman,Regular"SCADA STANDARDS 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14"/>
  <sheetViews>
    <sheetView topLeftCell="A74" zoomScaleNormal="100" workbookViewId="0">
      <selection activeCell="A81" sqref="A81"/>
    </sheetView>
  </sheetViews>
  <sheetFormatPr defaultRowHeight="15" x14ac:dyDescent="0.25"/>
  <cols>
    <col min="1" max="1" width="24.85546875" bestFit="1" customWidth="1"/>
    <col min="2" max="2" width="21" bestFit="1" customWidth="1"/>
    <col min="3" max="3" width="47.28515625" bestFit="1" customWidth="1"/>
    <col min="4" max="4" width="5.5703125" style="4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36" bestFit="1" customWidth="1"/>
    <col min="11" max="11" width="44.140625" bestFit="1" customWidth="1"/>
    <col min="12" max="12" width="18.140625" bestFit="1" customWidth="1"/>
    <col min="13" max="13" width="24" bestFit="1" customWidth="1"/>
    <col min="14" max="14" width="41.5703125" bestFit="1" customWidth="1"/>
    <col min="15" max="15" width="35.7109375" bestFit="1" customWidth="1"/>
    <col min="16" max="16" width="15.42578125" bestFit="1" customWidth="1"/>
    <col min="17" max="17" width="39.28515625" bestFit="1" customWidth="1"/>
    <col min="18" max="18" width="16.140625" bestFit="1" customWidth="1"/>
    <col min="19" max="19" width="58.28515625" bestFit="1" customWidth="1"/>
    <col min="20" max="20" width="19.140625" bestFit="1" customWidth="1"/>
    <col min="21" max="21" width="15.855468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41.28515625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31.7109375" bestFit="1" customWidth="1"/>
    <col min="47" max="47" width="18.140625" bestFit="1" customWidth="1"/>
    <col min="48" max="48" width="46.140625" bestFit="1" customWidth="1"/>
    <col min="49" max="49" width="14.855468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140625" bestFit="1" customWidth="1"/>
    <col min="54" max="55" width="19.140625" bestFit="1" customWidth="1"/>
    <col min="56" max="56" width="15.855468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140625" bestFit="1" customWidth="1"/>
    <col min="61" max="62" width="19.140625" bestFit="1" customWidth="1"/>
    <col min="63" max="63" width="15.85546875" bestFit="1" customWidth="1"/>
    <col min="64" max="64" width="13.28515625" bestFit="1" customWidth="1"/>
  </cols>
  <sheetData>
    <row r="1" spans="1:23" x14ac:dyDescent="0.25">
      <c r="A1" t="s">
        <v>130</v>
      </c>
      <c r="D1"/>
    </row>
    <row r="2" spans="1:23" x14ac:dyDescent="0.25">
      <c r="A2" t="s">
        <v>3</v>
      </c>
      <c r="B2" t="s">
        <v>4</v>
      </c>
      <c r="C2" t="s">
        <v>5</v>
      </c>
      <c r="D2" s="5" t="s">
        <v>119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t="s">
        <v>14</v>
      </c>
      <c r="N2" t="s">
        <v>15</v>
      </c>
      <c r="O2" t="s">
        <v>16</v>
      </c>
      <c r="P2" t="s">
        <v>17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  <c r="V2" t="s">
        <v>23</v>
      </c>
    </row>
    <row r="3" spans="1:23" x14ac:dyDescent="0.25">
      <c r="A3" s="2" t="s">
        <v>531</v>
      </c>
      <c r="B3" s="2" t="s">
        <v>2</v>
      </c>
      <c r="C3" s="2" t="s">
        <v>27</v>
      </c>
      <c r="D3" s="4">
        <f>LEN(C3)</f>
        <v>11</v>
      </c>
      <c r="E3" t="s">
        <v>0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2" t="s">
        <v>25</v>
      </c>
      <c r="B4" s="2" t="s">
        <v>116</v>
      </c>
      <c r="C4" s="2" t="s">
        <v>117</v>
      </c>
      <c r="D4" s="4">
        <f>LEN(C4)</f>
        <v>25</v>
      </c>
      <c r="E4" t="s">
        <v>0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t="s">
        <v>43</v>
      </c>
      <c r="B5" t="s">
        <v>4</v>
      </c>
      <c r="C5" t="s">
        <v>5</v>
      </c>
      <c r="E5" t="s">
        <v>30</v>
      </c>
      <c r="F5" t="s">
        <v>6</v>
      </c>
      <c r="G5" t="s">
        <v>7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44</v>
      </c>
      <c r="O5" t="s">
        <v>45</v>
      </c>
      <c r="P5" t="s">
        <v>46</v>
      </c>
      <c r="Q5" t="s">
        <v>47</v>
      </c>
      <c r="R5" t="s">
        <v>48</v>
      </c>
      <c r="S5" t="s">
        <v>37</v>
      </c>
      <c r="T5" t="s">
        <v>38</v>
      </c>
      <c r="U5" t="s">
        <v>15</v>
      </c>
      <c r="V5" t="s">
        <v>23</v>
      </c>
      <c r="W5" t="s">
        <v>39</v>
      </c>
    </row>
    <row r="6" spans="1:23" x14ac:dyDescent="0.25">
      <c r="A6" s="6" t="str">
        <f>$A$3&amp;"_"&amp;""&amp;"DI_AD"</f>
        <v>BXX_DEV1_FI1_DI_AD</v>
      </c>
      <c r="B6" s="6" t="str">
        <f>$A$4</f>
        <v>BXX_DSAB</v>
      </c>
      <c r="C6" s="6" t="str">
        <f>$C$3 &amp; " Disabled Analog Alarm"</f>
        <v>Sample Flow Disabled Analog Alarm</v>
      </c>
      <c r="D6" s="4">
        <f>LEN(C6)</f>
        <v>33</v>
      </c>
      <c r="E6" t="s">
        <v>1</v>
      </c>
      <c r="F6" t="s">
        <v>1</v>
      </c>
      <c r="G6">
        <v>0</v>
      </c>
      <c r="H6" t="s">
        <v>0</v>
      </c>
      <c r="I6" t="s">
        <v>40</v>
      </c>
      <c r="J6" t="s">
        <v>40</v>
      </c>
      <c r="K6" t="s">
        <v>42</v>
      </c>
      <c r="L6" t="s">
        <v>42</v>
      </c>
      <c r="M6" s="2">
        <v>98</v>
      </c>
      <c r="N6" t="s">
        <v>49</v>
      </c>
      <c r="O6" s="2" t="s">
        <v>2</v>
      </c>
      <c r="P6" t="s">
        <v>1</v>
      </c>
      <c r="Q6" s="6" t="str">
        <f>$A$3&amp;".DI_AD"</f>
        <v>BXX_DEV1_FI1.DI_AD</v>
      </c>
      <c r="R6" t="s">
        <v>1</v>
      </c>
      <c r="S6" s="6" t="str">
        <f>C6</f>
        <v>Sample Flow Disabled Analog Alarm</v>
      </c>
      <c r="T6">
        <v>0</v>
      </c>
      <c r="U6">
        <v>0</v>
      </c>
    </row>
    <row r="7" spans="1:23" x14ac:dyDescent="0.25">
      <c r="A7" s="6" t="str">
        <f>$A$3&amp;"_"&amp;"DI_SC"</f>
        <v>BXX_DEV1_FI1_DI_SC</v>
      </c>
      <c r="B7" s="6" t="str">
        <f>$A$3</f>
        <v>BXX_DEV1_FI1</v>
      </c>
      <c r="C7" s="6" t="str">
        <f>$C$3 &amp; " Scan Status"</f>
        <v>Sample Flow Scan Status</v>
      </c>
      <c r="D7" s="4">
        <f t="shared" ref="D7:D36" si="0">LEN(C7)</f>
        <v>23</v>
      </c>
      <c r="E7" t="s">
        <v>1</v>
      </c>
      <c r="F7" t="s">
        <v>0</v>
      </c>
      <c r="G7" s="2">
        <v>700</v>
      </c>
      <c r="H7" t="s">
        <v>0</v>
      </c>
      <c r="I7" t="s">
        <v>40</v>
      </c>
      <c r="J7" t="s">
        <v>53</v>
      </c>
      <c r="K7" t="s">
        <v>52</v>
      </c>
      <c r="L7" t="s">
        <v>41</v>
      </c>
      <c r="M7">
        <v>1</v>
      </c>
      <c r="N7" t="s">
        <v>49</v>
      </c>
      <c r="O7" s="6" t="str">
        <f>$O$6</f>
        <v>BXX</v>
      </c>
      <c r="P7" t="s">
        <v>1</v>
      </c>
      <c r="Q7" s="6" t="str">
        <f>$A$3&amp;".DI_SC"</f>
        <v>BXX_DEV1_FI1.DI_SC</v>
      </c>
      <c r="R7" t="s">
        <v>1</v>
      </c>
      <c r="S7" s="6" t="str">
        <f t="shared" ref="S7:S36" si="1">C7</f>
        <v>Sample Flow Scan Status</v>
      </c>
      <c r="T7">
        <v>0</v>
      </c>
      <c r="U7">
        <v>0</v>
      </c>
    </row>
    <row r="8" spans="1:23" x14ac:dyDescent="0.25">
      <c r="A8" s="6" t="str">
        <f>$A$3&amp;"_"&amp;"DA_LL"</f>
        <v>BXX_DEV1_FI1_DA_LL</v>
      </c>
      <c r="B8" s="6" t="str">
        <f t="shared" ref="B8:B36" si="2">$A$3</f>
        <v>BXX_DEV1_FI1</v>
      </c>
      <c r="C8" s="6" t="str">
        <f>$C$3 &amp; " LOLO Alarm"</f>
        <v>Sample Flow LOLO Alarm</v>
      </c>
      <c r="D8" s="4">
        <f t="shared" si="0"/>
        <v>22</v>
      </c>
      <c r="E8" t="s">
        <v>1</v>
      </c>
      <c r="F8" t="s">
        <v>1</v>
      </c>
      <c r="G8">
        <v>0</v>
      </c>
      <c r="H8" t="s">
        <v>0</v>
      </c>
      <c r="I8" t="s">
        <v>40</v>
      </c>
      <c r="J8" t="s">
        <v>54</v>
      </c>
      <c r="K8" t="s">
        <v>51</v>
      </c>
      <c r="L8" t="s">
        <v>42</v>
      </c>
      <c r="M8" s="2">
        <v>90</v>
      </c>
      <c r="N8" t="s">
        <v>49</v>
      </c>
      <c r="O8" s="6" t="str">
        <f t="shared" ref="O8:O36" si="3">$O$6</f>
        <v>BXX</v>
      </c>
      <c r="P8" t="s">
        <v>1</v>
      </c>
      <c r="Q8" s="6" t="str">
        <f>$A$3&amp;".DA_LL"</f>
        <v>BXX_DEV1_FI1.DA_LL</v>
      </c>
      <c r="R8" t="s">
        <v>1</v>
      </c>
      <c r="S8" s="6" t="str">
        <f t="shared" si="1"/>
        <v>Sample Flow LOLO Alarm</v>
      </c>
      <c r="T8">
        <v>0</v>
      </c>
      <c r="U8">
        <v>0</v>
      </c>
    </row>
    <row r="9" spans="1:23" x14ac:dyDescent="0.25">
      <c r="A9" s="6" t="str">
        <f>$A$3&amp;"_"&amp;"DA_ER"</f>
        <v>BXX_DEV1_FI1_DA_ER</v>
      </c>
      <c r="B9" s="6" t="str">
        <f t="shared" si="2"/>
        <v>BXX_DEV1_FI1</v>
      </c>
      <c r="C9" s="6" t="str">
        <f>$C$3 &amp; " Signal Error Alarm"</f>
        <v>Sample Flow Signal Error Alarm</v>
      </c>
      <c r="D9" s="4">
        <f t="shared" si="0"/>
        <v>30</v>
      </c>
      <c r="E9" t="s">
        <v>1</v>
      </c>
      <c r="F9" t="s">
        <v>1</v>
      </c>
      <c r="G9">
        <v>0</v>
      </c>
      <c r="H9" t="s">
        <v>0</v>
      </c>
      <c r="I9" t="s">
        <v>40</v>
      </c>
      <c r="J9" t="s">
        <v>54</v>
      </c>
      <c r="K9" t="s">
        <v>51</v>
      </c>
      <c r="L9" t="s">
        <v>42</v>
      </c>
      <c r="M9" s="2">
        <v>94</v>
      </c>
      <c r="N9" t="s">
        <v>49</v>
      </c>
      <c r="O9" s="6" t="str">
        <f t="shared" si="3"/>
        <v>BXX</v>
      </c>
      <c r="P9" t="s">
        <v>1</v>
      </c>
      <c r="Q9" s="6" t="str">
        <f>$A$3&amp;".DA_ER"</f>
        <v>BXX_DEV1_FI1.DA_ER</v>
      </c>
      <c r="R9" t="s">
        <v>1</v>
      </c>
      <c r="S9" s="6" t="str">
        <f t="shared" si="1"/>
        <v>Sample Flow Signal Error Alarm</v>
      </c>
      <c r="T9">
        <v>0</v>
      </c>
      <c r="U9">
        <v>0</v>
      </c>
    </row>
    <row r="10" spans="1:23" x14ac:dyDescent="0.25">
      <c r="A10" s="6" t="str">
        <f>$A$3&amp;"_"&amp;"PB_SM"</f>
        <v>BXX_DEV1_FI1_PB_SM</v>
      </c>
      <c r="B10" s="6" t="str">
        <f t="shared" si="2"/>
        <v>BXX_DEV1_FI1</v>
      </c>
      <c r="C10" s="6" t="str">
        <f>$C$3 &amp; " Alarm Test"</f>
        <v>Sample Flow Alarm Test</v>
      </c>
      <c r="D10" s="4">
        <f t="shared" si="0"/>
        <v>22</v>
      </c>
      <c r="E10" t="s">
        <v>1</v>
      </c>
      <c r="F10" t="s">
        <v>0</v>
      </c>
      <c r="G10" s="2">
        <v>600</v>
      </c>
      <c r="H10" t="s">
        <v>0</v>
      </c>
      <c r="I10" t="s">
        <v>40</v>
      </c>
      <c r="J10" t="s">
        <v>40</v>
      </c>
      <c r="K10" t="s">
        <v>42</v>
      </c>
      <c r="L10" t="s">
        <v>41</v>
      </c>
      <c r="M10">
        <v>1</v>
      </c>
      <c r="N10" t="s">
        <v>49</v>
      </c>
      <c r="O10" s="6" t="str">
        <f t="shared" si="3"/>
        <v>BXX</v>
      </c>
      <c r="P10" t="s">
        <v>1</v>
      </c>
      <c r="Q10" s="6" t="str">
        <f>$A$3&amp;".PB_SM"</f>
        <v>BXX_DEV1_FI1.PB_SM</v>
      </c>
      <c r="R10" t="s">
        <v>1</v>
      </c>
      <c r="S10" s="6" t="str">
        <f t="shared" si="1"/>
        <v>Sample Flow Alarm Test</v>
      </c>
      <c r="T10">
        <v>0</v>
      </c>
      <c r="U10">
        <v>0</v>
      </c>
    </row>
    <row r="11" spans="1:23" x14ac:dyDescent="0.25">
      <c r="A11" s="6" t="str">
        <f>$A$3&amp;"_"&amp;"PB_SV"</f>
        <v>BXX_DEV1_FI1_PB_SV</v>
      </c>
      <c r="B11" s="6" t="str">
        <f t="shared" si="2"/>
        <v>BXX_DEV1_FI1</v>
      </c>
      <c r="C11" s="6" t="str">
        <f>$C$3 &amp; " Override Enable"</f>
        <v>Sample Flow Override Enable</v>
      </c>
      <c r="D11" s="4">
        <f t="shared" si="0"/>
        <v>27</v>
      </c>
      <c r="E11" t="s">
        <v>1</v>
      </c>
      <c r="F11" t="s">
        <v>0</v>
      </c>
      <c r="G11" s="2">
        <v>600</v>
      </c>
      <c r="H11" t="s">
        <v>0</v>
      </c>
      <c r="I11" t="s">
        <v>40</v>
      </c>
      <c r="J11" t="s">
        <v>40</v>
      </c>
      <c r="K11" t="s">
        <v>42</v>
      </c>
      <c r="L11" t="s">
        <v>41</v>
      </c>
      <c r="M11">
        <v>1</v>
      </c>
      <c r="N11" t="s">
        <v>49</v>
      </c>
      <c r="O11" s="6" t="str">
        <f t="shared" si="3"/>
        <v>BXX</v>
      </c>
      <c r="P11" t="s">
        <v>1</v>
      </c>
      <c r="Q11" s="6" t="str">
        <f>$A$3&amp;".PB_SV"</f>
        <v>BXX_DEV1_FI1.PB_SV</v>
      </c>
      <c r="R11" t="s">
        <v>1</v>
      </c>
      <c r="S11" s="6" t="str">
        <f t="shared" si="1"/>
        <v>Sample Flow Override Enable</v>
      </c>
      <c r="T11">
        <v>0</v>
      </c>
      <c r="U11">
        <v>0</v>
      </c>
    </row>
    <row r="12" spans="1:23" x14ac:dyDescent="0.25">
      <c r="A12" s="6" t="str">
        <f>$A$3&amp;"_"&amp;"PB_AE"</f>
        <v>BXX_DEV1_FI1_PB_AE</v>
      </c>
      <c r="B12" s="6" t="str">
        <f t="shared" si="2"/>
        <v>BXX_DEV1_FI1</v>
      </c>
      <c r="C12" s="6" t="str">
        <f>$C$3 &amp; " Alarm Enable"</f>
        <v>Sample Flow Alarm Enable</v>
      </c>
      <c r="D12" s="4">
        <f t="shared" si="0"/>
        <v>24</v>
      </c>
      <c r="E12" t="s">
        <v>1</v>
      </c>
      <c r="F12" t="s">
        <v>0</v>
      </c>
      <c r="G12" s="2">
        <v>600</v>
      </c>
      <c r="H12" t="s">
        <v>0</v>
      </c>
      <c r="I12" t="s">
        <v>40</v>
      </c>
      <c r="J12" t="s">
        <v>40</v>
      </c>
      <c r="K12" t="s">
        <v>42</v>
      </c>
      <c r="L12" t="s">
        <v>41</v>
      </c>
      <c r="M12">
        <v>1</v>
      </c>
      <c r="N12" t="s">
        <v>49</v>
      </c>
      <c r="O12" s="6" t="str">
        <f t="shared" si="3"/>
        <v>BXX</v>
      </c>
      <c r="P12" t="s">
        <v>1</v>
      </c>
      <c r="Q12" s="6" t="str">
        <f>$A$3&amp;".PB_AE.RE"</f>
        <v>BXX_DEV1_FI1.PB_AE.RE</v>
      </c>
      <c r="R12" t="s">
        <v>1</v>
      </c>
      <c r="S12" s="6" t="str">
        <f t="shared" si="1"/>
        <v>Sample Flow Alarm Enable</v>
      </c>
      <c r="T12">
        <v>0</v>
      </c>
      <c r="U12">
        <v>0</v>
      </c>
    </row>
    <row r="13" spans="1:23" x14ac:dyDescent="0.25">
      <c r="A13" s="6" t="str">
        <f>$A$3&amp;"_"&amp;"PB_HI"</f>
        <v>BXX_DEV1_FI1_PB_HI</v>
      </c>
      <c r="B13" s="6" t="str">
        <f t="shared" si="2"/>
        <v>BXX_DEV1_FI1</v>
      </c>
      <c r="C13" s="6" t="str">
        <f>$C$3 &amp; " High Alarm Enable"</f>
        <v>Sample Flow High Alarm Enable</v>
      </c>
      <c r="D13" s="4">
        <f t="shared" si="0"/>
        <v>29</v>
      </c>
      <c r="E13" t="s">
        <v>1</v>
      </c>
      <c r="F13" t="s">
        <v>0</v>
      </c>
      <c r="G13" s="2">
        <v>600</v>
      </c>
      <c r="H13" t="s">
        <v>0</v>
      </c>
      <c r="I13" t="s">
        <v>40</v>
      </c>
      <c r="J13" t="s">
        <v>52</v>
      </c>
      <c r="K13" t="s">
        <v>53</v>
      </c>
      <c r="L13" t="s">
        <v>41</v>
      </c>
      <c r="M13">
        <v>1</v>
      </c>
      <c r="N13" t="s">
        <v>49</v>
      </c>
      <c r="O13" s="6" t="str">
        <f t="shared" si="3"/>
        <v>BXX</v>
      </c>
      <c r="P13" t="s">
        <v>1</v>
      </c>
      <c r="Q13" s="6" t="str">
        <f>$A$3&amp;".PB_HI.RE"</f>
        <v>BXX_DEV1_FI1.PB_HI.RE</v>
      </c>
      <c r="R13" t="s">
        <v>1</v>
      </c>
      <c r="S13" s="6" t="str">
        <f t="shared" si="1"/>
        <v>Sample Flow High Alarm Enable</v>
      </c>
      <c r="T13">
        <v>0</v>
      </c>
      <c r="U13">
        <v>0</v>
      </c>
    </row>
    <row r="14" spans="1:23" x14ac:dyDescent="0.25">
      <c r="A14" s="6" t="str">
        <f>$A$3&amp;"_"&amp;"PB_LO"</f>
        <v>BXX_DEV1_FI1_PB_LO</v>
      </c>
      <c r="B14" s="6" t="str">
        <f t="shared" si="2"/>
        <v>BXX_DEV1_FI1</v>
      </c>
      <c r="C14" s="6" t="str">
        <f>$C$3 &amp; " Low Alarm Enable"</f>
        <v>Sample Flow Low Alarm Enable</v>
      </c>
      <c r="D14" s="4">
        <f t="shared" si="0"/>
        <v>28</v>
      </c>
      <c r="E14" t="s">
        <v>1</v>
      </c>
      <c r="F14" t="s">
        <v>0</v>
      </c>
      <c r="G14" s="2">
        <v>600</v>
      </c>
      <c r="H14" t="s">
        <v>0</v>
      </c>
      <c r="I14" t="s">
        <v>40</v>
      </c>
      <c r="J14" t="s">
        <v>52</v>
      </c>
      <c r="K14" t="s">
        <v>53</v>
      </c>
      <c r="L14" t="s">
        <v>41</v>
      </c>
      <c r="M14">
        <v>1</v>
      </c>
      <c r="N14" t="s">
        <v>49</v>
      </c>
      <c r="O14" s="6" t="str">
        <f t="shared" si="3"/>
        <v>BXX</v>
      </c>
      <c r="P14" t="s">
        <v>1</v>
      </c>
      <c r="Q14" s="6" t="str">
        <f>$A$3&amp;".PB_LO.RE"</f>
        <v>BXX_DEV1_FI1.PB_LO.RE</v>
      </c>
      <c r="R14" t="s">
        <v>1</v>
      </c>
      <c r="S14" s="6" t="str">
        <f t="shared" si="1"/>
        <v>Sample Flow Low Alarm Enable</v>
      </c>
      <c r="T14">
        <v>0</v>
      </c>
      <c r="U14">
        <v>0</v>
      </c>
    </row>
    <row r="15" spans="1:23" x14ac:dyDescent="0.25">
      <c r="A15" s="6" t="str">
        <f>$A$3&amp;"_"&amp;"PB_LL"</f>
        <v>BXX_DEV1_FI1_PB_LL</v>
      </c>
      <c r="B15" s="6" t="str">
        <f t="shared" si="2"/>
        <v>BXX_DEV1_FI1</v>
      </c>
      <c r="C15" s="6" t="str">
        <f>$C$3 &amp; " LOLO Alarm Enable"</f>
        <v>Sample Flow LOLO Alarm Enable</v>
      </c>
      <c r="D15" s="4">
        <f t="shared" si="0"/>
        <v>29</v>
      </c>
      <c r="E15" t="s">
        <v>1</v>
      </c>
      <c r="F15" t="s">
        <v>0</v>
      </c>
      <c r="G15" s="2">
        <v>600</v>
      </c>
      <c r="H15" t="s">
        <v>0</v>
      </c>
      <c r="I15" t="s">
        <v>40</v>
      </c>
      <c r="J15" t="s">
        <v>52</v>
      </c>
      <c r="K15" t="s">
        <v>53</v>
      </c>
      <c r="L15" t="s">
        <v>41</v>
      </c>
      <c r="M15">
        <v>1</v>
      </c>
      <c r="N15" t="s">
        <v>49</v>
      </c>
      <c r="O15" s="6" t="str">
        <f t="shared" si="3"/>
        <v>BXX</v>
      </c>
      <c r="P15" t="s">
        <v>1</v>
      </c>
      <c r="Q15" s="6" t="str">
        <f>$A$3&amp;".PB_LL.RE"</f>
        <v>BXX_DEV1_FI1.PB_LL.RE</v>
      </c>
      <c r="R15" t="s">
        <v>1</v>
      </c>
      <c r="S15" s="6" t="str">
        <f t="shared" si="1"/>
        <v>Sample Flow LOLO Alarm Enable</v>
      </c>
      <c r="T15">
        <v>0</v>
      </c>
      <c r="U15">
        <v>0</v>
      </c>
    </row>
    <row r="16" spans="1:23" x14ac:dyDescent="0.25">
      <c r="A16" s="6" t="str">
        <f>$A$3&amp;"_"&amp;"PB_ER"</f>
        <v>BXX_DEV1_FI1_PB_ER</v>
      </c>
      <c r="B16" s="6" t="str">
        <f t="shared" si="2"/>
        <v>BXX_DEV1_FI1</v>
      </c>
      <c r="C16" s="6" t="str">
        <f>$C$3 &amp; " Signal Error Alarm En"</f>
        <v>Sample Flow Signal Error Alarm En</v>
      </c>
      <c r="D16" s="4">
        <f t="shared" si="0"/>
        <v>33</v>
      </c>
      <c r="E16" t="s">
        <v>1</v>
      </c>
      <c r="F16" t="s">
        <v>0</v>
      </c>
      <c r="G16" s="2">
        <v>600</v>
      </c>
      <c r="H16" t="s">
        <v>0</v>
      </c>
      <c r="I16" t="s">
        <v>40</v>
      </c>
      <c r="J16" t="s">
        <v>52</v>
      </c>
      <c r="K16" t="s">
        <v>53</v>
      </c>
      <c r="L16" t="s">
        <v>41</v>
      </c>
      <c r="M16">
        <v>1</v>
      </c>
      <c r="N16" t="s">
        <v>49</v>
      </c>
      <c r="O16" s="6" t="str">
        <f t="shared" si="3"/>
        <v>BXX</v>
      </c>
      <c r="P16" t="s">
        <v>1</v>
      </c>
      <c r="Q16" s="6" t="str">
        <f>$A$3&amp;".PB_ER.RE"</f>
        <v>BXX_DEV1_FI1.PB_ER.RE</v>
      </c>
      <c r="R16" t="s">
        <v>1</v>
      </c>
      <c r="S16" s="6" t="str">
        <f t="shared" si="1"/>
        <v>Sample Flow Signal Error Alarm En</v>
      </c>
      <c r="T16">
        <v>0</v>
      </c>
      <c r="U16">
        <v>0</v>
      </c>
    </row>
    <row r="17" spans="1:21" x14ac:dyDescent="0.25">
      <c r="A17" s="6" t="str">
        <f>$A$3&amp;"_"&amp;"PB_SC"</f>
        <v>BXX_DEV1_FI1_PB_SC</v>
      </c>
      <c r="B17" s="6" t="str">
        <f t="shared" si="2"/>
        <v>BXX_DEV1_FI1</v>
      </c>
      <c r="C17" s="6" t="str">
        <f>$C$3 &amp; " Scan Enable"</f>
        <v>Sample Flow Scan Enable</v>
      </c>
      <c r="D17" s="4">
        <f t="shared" si="0"/>
        <v>23</v>
      </c>
      <c r="E17" t="s">
        <v>1</v>
      </c>
      <c r="F17" t="s">
        <v>0</v>
      </c>
      <c r="G17" s="2">
        <v>600</v>
      </c>
      <c r="H17" t="s">
        <v>0</v>
      </c>
      <c r="I17" t="s">
        <v>40</v>
      </c>
      <c r="J17" t="s">
        <v>40</v>
      </c>
      <c r="K17" t="s">
        <v>42</v>
      </c>
      <c r="L17" t="s">
        <v>41</v>
      </c>
      <c r="M17">
        <v>1</v>
      </c>
      <c r="N17" t="s">
        <v>49</v>
      </c>
      <c r="O17" s="6" t="str">
        <f t="shared" si="3"/>
        <v>BXX</v>
      </c>
      <c r="P17" t="s">
        <v>1</v>
      </c>
      <c r="Q17" s="6" t="str">
        <f>$A$3&amp;".PB_SC"</f>
        <v>BXX_DEV1_FI1.PB_SC</v>
      </c>
      <c r="R17" t="s">
        <v>1</v>
      </c>
      <c r="S17" s="6" t="str">
        <f t="shared" si="1"/>
        <v>Sample Flow Scan Enable</v>
      </c>
      <c r="T17">
        <v>0</v>
      </c>
      <c r="U17">
        <v>0</v>
      </c>
    </row>
    <row r="18" spans="1:21" x14ac:dyDescent="0.25">
      <c r="A18" s="6" t="str">
        <f>$A$3&amp;"_"&amp;"DA_HH"</f>
        <v>BXX_DEV1_FI1_DA_HH</v>
      </c>
      <c r="B18" s="6" t="str">
        <f t="shared" si="2"/>
        <v>BXX_DEV1_FI1</v>
      </c>
      <c r="C18" s="6" t="str">
        <f>$C$3 &amp; " HIHI Alarm"</f>
        <v>Sample Flow HIHI Alarm</v>
      </c>
      <c r="D18" s="4">
        <f t="shared" si="0"/>
        <v>22</v>
      </c>
      <c r="E18" t="s">
        <v>1</v>
      </c>
      <c r="F18" t="s">
        <v>1</v>
      </c>
      <c r="G18">
        <v>0</v>
      </c>
      <c r="H18" t="s">
        <v>0</v>
      </c>
      <c r="I18" t="s">
        <v>40</v>
      </c>
      <c r="J18" t="s">
        <v>54</v>
      </c>
      <c r="K18" t="s">
        <v>51</v>
      </c>
      <c r="L18" t="s">
        <v>42</v>
      </c>
      <c r="M18" s="2">
        <v>90</v>
      </c>
      <c r="N18" t="s">
        <v>49</v>
      </c>
      <c r="O18" s="6" t="str">
        <f t="shared" si="3"/>
        <v>BXX</v>
      </c>
      <c r="P18" t="s">
        <v>1</v>
      </c>
      <c r="Q18" s="6" t="str">
        <f>$A$3&amp;".DA_HH"</f>
        <v>BXX_DEV1_FI1.DA_HH</v>
      </c>
      <c r="R18" t="s">
        <v>1</v>
      </c>
      <c r="S18" s="6" t="str">
        <f t="shared" si="1"/>
        <v>Sample Flow HIHI Alarm</v>
      </c>
      <c r="T18">
        <v>0</v>
      </c>
      <c r="U18">
        <v>0</v>
      </c>
    </row>
    <row r="19" spans="1:21" x14ac:dyDescent="0.25">
      <c r="A19" s="6" t="str">
        <f>$A$3&amp;"_"&amp;"DA_HI"</f>
        <v>BXX_DEV1_FI1_DA_HI</v>
      </c>
      <c r="B19" s="6" t="str">
        <f t="shared" si="2"/>
        <v>BXX_DEV1_FI1</v>
      </c>
      <c r="C19" s="6" t="str">
        <f>$C$3 &amp; " HI Alarm"</f>
        <v>Sample Flow HI Alarm</v>
      </c>
      <c r="D19" s="4">
        <f t="shared" si="0"/>
        <v>20</v>
      </c>
      <c r="E19" t="s">
        <v>1</v>
      </c>
      <c r="F19" t="s">
        <v>1</v>
      </c>
      <c r="G19">
        <v>0</v>
      </c>
      <c r="H19" t="s">
        <v>0</v>
      </c>
      <c r="I19" t="s">
        <v>40</v>
      </c>
      <c r="J19" t="s">
        <v>54</v>
      </c>
      <c r="K19" t="s">
        <v>51</v>
      </c>
      <c r="L19" t="s">
        <v>42</v>
      </c>
      <c r="M19" s="2">
        <v>90</v>
      </c>
      <c r="N19" t="s">
        <v>49</v>
      </c>
      <c r="O19" s="6" t="str">
        <f t="shared" si="3"/>
        <v>BXX</v>
      </c>
      <c r="P19" t="s">
        <v>1</v>
      </c>
      <c r="Q19" s="6" t="str">
        <f>$A$3&amp;".DA_HI"</f>
        <v>BXX_DEV1_FI1.DA_HI</v>
      </c>
      <c r="R19" t="s">
        <v>1</v>
      </c>
      <c r="S19" s="6" t="str">
        <f t="shared" si="1"/>
        <v>Sample Flow HI Alarm</v>
      </c>
      <c r="T19">
        <v>0</v>
      </c>
      <c r="U19">
        <v>0</v>
      </c>
    </row>
    <row r="20" spans="1:21" x14ac:dyDescent="0.25">
      <c r="A20" s="6" t="str">
        <f>$A$3&amp;"_"&amp;"PB_HH"</f>
        <v>BXX_DEV1_FI1_PB_HH</v>
      </c>
      <c r="B20" s="6" t="str">
        <f t="shared" si="2"/>
        <v>BXX_DEV1_FI1</v>
      </c>
      <c r="C20" s="6" t="str">
        <f>$C$3 &amp; " HIHI Alarm Enable"</f>
        <v>Sample Flow HIHI Alarm Enable</v>
      </c>
      <c r="D20" s="4">
        <f t="shared" si="0"/>
        <v>29</v>
      </c>
      <c r="E20" t="s">
        <v>1</v>
      </c>
      <c r="F20" t="s">
        <v>0</v>
      </c>
      <c r="G20" s="2">
        <v>600</v>
      </c>
      <c r="H20" t="s">
        <v>0</v>
      </c>
      <c r="I20" t="s">
        <v>40</v>
      </c>
      <c r="J20" t="s">
        <v>52</v>
      </c>
      <c r="K20" t="s">
        <v>53</v>
      </c>
      <c r="L20" t="s">
        <v>41</v>
      </c>
      <c r="M20">
        <v>1</v>
      </c>
      <c r="N20" t="s">
        <v>49</v>
      </c>
      <c r="O20" s="6" t="str">
        <f t="shared" si="3"/>
        <v>BXX</v>
      </c>
      <c r="P20" t="s">
        <v>1</v>
      </c>
      <c r="Q20" s="6" t="str">
        <f>$A$3&amp;".PB_HH.RE"</f>
        <v>BXX_DEV1_FI1.PB_HH.RE</v>
      </c>
      <c r="R20" t="s">
        <v>1</v>
      </c>
      <c r="S20" s="6" t="str">
        <f t="shared" si="1"/>
        <v>Sample Flow HIHI Alarm Enable</v>
      </c>
      <c r="T20">
        <v>0</v>
      </c>
      <c r="U20">
        <v>0</v>
      </c>
    </row>
    <row r="21" spans="1:21" x14ac:dyDescent="0.25">
      <c r="A21" s="6" t="str">
        <f>$A$3&amp;"_"&amp;"PB_AR"</f>
        <v>BXX_DEV1_FI1_PB_AR</v>
      </c>
      <c r="B21" s="6" t="str">
        <f t="shared" si="2"/>
        <v>BXX_DEV1_FI1</v>
      </c>
      <c r="C21" s="6" t="str">
        <f>$C$3 &amp; " Alarm Reset"</f>
        <v>Sample Flow Alarm Reset</v>
      </c>
      <c r="D21" s="4">
        <f t="shared" si="0"/>
        <v>23</v>
      </c>
      <c r="E21" t="s">
        <v>1</v>
      </c>
      <c r="F21" t="s">
        <v>0</v>
      </c>
      <c r="G21" s="2">
        <v>600</v>
      </c>
      <c r="H21" t="s">
        <v>0</v>
      </c>
      <c r="I21" t="s">
        <v>40</v>
      </c>
      <c r="J21" t="s">
        <v>40</v>
      </c>
      <c r="K21" t="s">
        <v>42</v>
      </c>
      <c r="L21" t="s">
        <v>41</v>
      </c>
      <c r="M21">
        <v>1</v>
      </c>
      <c r="N21" t="s">
        <v>49</v>
      </c>
      <c r="O21" s="6" t="str">
        <f t="shared" si="3"/>
        <v>BXX</v>
      </c>
      <c r="P21" t="s">
        <v>1</v>
      </c>
      <c r="Q21" s="6" t="str">
        <f>$A$3&amp;".PB_AR"</f>
        <v>BXX_DEV1_FI1.PB_AR</v>
      </c>
      <c r="R21" t="s">
        <v>1</v>
      </c>
      <c r="S21" s="6" t="str">
        <f t="shared" si="1"/>
        <v>Sample Flow Alarm Reset</v>
      </c>
      <c r="T21">
        <v>0</v>
      </c>
      <c r="U21">
        <v>0</v>
      </c>
    </row>
    <row r="22" spans="1:21" x14ac:dyDescent="0.25">
      <c r="A22" s="6" t="str">
        <f>$A$3&amp;"_"&amp;"DA_LO"</f>
        <v>BXX_DEV1_FI1_DA_LO</v>
      </c>
      <c r="B22" s="6" t="str">
        <f t="shared" si="2"/>
        <v>BXX_DEV1_FI1</v>
      </c>
      <c r="C22" s="6" t="str">
        <f>$C$3 &amp; " LO Alarm"</f>
        <v>Sample Flow LO Alarm</v>
      </c>
      <c r="D22" s="4">
        <f t="shared" si="0"/>
        <v>20</v>
      </c>
      <c r="E22" t="s">
        <v>1</v>
      </c>
      <c r="F22" t="s">
        <v>1</v>
      </c>
      <c r="G22">
        <v>0</v>
      </c>
      <c r="H22" t="s">
        <v>0</v>
      </c>
      <c r="I22" t="s">
        <v>40</v>
      </c>
      <c r="J22" t="s">
        <v>54</v>
      </c>
      <c r="K22" t="s">
        <v>51</v>
      </c>
      <c r="L22" t="s">
        <v>42</v>
      </c>
      <c r="M22" s="2">
        <v>90</v>
      </c>
      <c r="N22" t="s">
        <v>49</v>
      </c>
      <c r="O22" s="6" t="str">
        <f t="shared" si="3"/>
        <v>BXX</v>
      </c>
      <c r="P22" t="s">
        <v>1</v>
      </c>
      <c r="Q22" s="6" t="str">
        <f>$A$3&amp;".DA_LO"</f>
        <v>BXX_DEV1_FI1.DA_LO</v>
      </c>
      <c r="R22" t="s">
        <v>1</v>
      </c>
      <c r="S22" s="6" t="str">
        <f t="shared" si="1"/>
        <v>Sample Flow LO Alarm</v>
      </c>
      <c r="T22">
        <v>0</v>
      </c>
      <c r="U22">
        <v>0</v>
      </c>
    </row>
    <row r="23" spans="1:21" x14ac:dyDescent="0.25">
      <c r="A23" s="3" t="str">
        <f>$A$3&amp;"_"&amp;"PB_MM"</f>
        <v>BXX_DEV1_FI1_PB_MM</v>
      </c>
      <c r="B23" s="6" t="str">
        <f t="shared" si="2"/>
        <v>BXX_DEV1_FI1</v>
      </c>
      <c r="C23" s="6" t="str">
        <f>$C$3 &amp; " Enable Limit Tracking"</f>
        <v>Sample Flow Enable Limit Tracking</v>
      </c>
      <c r="D23" s="4">
        <f t="shared" si="0"/>
        <v>33</v>
      </c>
      <c r="E23" t="s">
        <v>1</v>
      </c>
      <c r="F23" t="s">
        <v>0</v>
      </c>
      <c r="G23" s="2">
        <v>600</v>
      </c>
      <c r="H23" t="s">
        <v>0</v>
      </c>
      <c r="I23" t="s">
        <v>40</v>
      </c>
      <c r="J23" t="s">
        <v>53</v>
      </c>
      <c r="K23" t="s">
        <v>52</v>
      </c>
      <c r="L23" t="s">
        <v>41</v>
      </c>
      <c r="M23">
        <v>1</v>
      </c>
      <c r="N23" t="s">
        <v>49</v>
      </c>
      <c r="O23" s="6" t="str">
        <f t="shared" si="3"/>
        <v>BXX</v>
      </c>
      <c r="P23" t="s">
        <v>1</v>
      </c>
      <c r="Q23" s="6" t="str">
        <f>$A$3&amp;".PB_MM"</f>
        <v>BXX_DEV1_FI1.PB_MM</v>
      </c>
      <c r="R23" t="s">
        <v>1</v>
      </c>
      <c r="S23" s="6" t="str">
        <f t="shared" si="1"/>
        <v>Sample Flow Enable Limit Tracking</v>
      </c>
      <c r="T23">
        <v>0</v>
      </c>
      <c r="U23">
        <v>0</v>
      </c>
    </row>
    <row r="24" spans="1:21" x14ac:dyDescent="0.25">
      <c r="A24" s="3" t="str">
        <f>$A$3&amp;"_"&amp;"PB_RS"</f>
        <v>BXX_DEV1_FI1_PB_RS</v>
      </c>
      <c r="B24" s="6" t="str">
        <f t="shared" si="2"/>
        <v>BXX_DEV1_FI1</v>
      </c>
      <c r="C24" s="6" t="str">
        <f>$C$3 &amp; " Totalizer Reset"</f>
        <v>Sample Flow Totalizer Reset</v>
      </c>
      <c r="D24" s="4">
        <f t="shared" si="0"/>
        <v>27</v>
      </c>
      <c r="E24" t="s">
        <v>1</v>
      </c>
      <c r="F24" t="s">
        <v>0</v>
      </c>
      <c r="G24" s="2">
        <v>600</v>
      </c>
      <c r="H24" t="s">
        <v>0</v>
      </c>
      <c r="I24" t="s">
        <v>40</v>
      </c>
      <c r="J24" t="s">
        <v>40</v>
      </c>
      <c r="K24" t="s">
        <v>42</v>
      </c>
      <c r="L24" t="s">
        <v>41</v>
      </c>
      <c r="M24">
        <v>1</v>
      </c>
      <c r="N24" t="s">
        <v>49</v>
      </c>
      <c r="O24" s="6" t="str">
        <f t="shared" si="3"/>
        <v>BXX</v>
      </c>
      <c r="P24" t="s">
        <v>1</v>
      </c>
      <c r="Q24" s="6" t="str">
        <f>$A$3&amp;".PB_RS"</f>
        <v>BXX_DEV1_FI1.PB_RS</v>
      </c>
      <c r="R24" t="s">
        <v>1</v>
      </c>
      <c r="S24" s="6" t="str">
        <f t="shared" si="1"/>
        <v>Sample Flow Totalizer Reset</v>
      </c>
      <c r="T24">
        <v>0</v>
      </c>
      <c r="U24">
        <v>0</v>
      </c>
    </row>
    <row r="25" spans="1:21" x14ac:dyDescent="0.25">
      <c r="A25" s="3" t="str">
        <f>$A$3&amp;"_"&amp;"PB_HI_DE"</f>
        <v>BXX_DEV1_FI1_PB_HI_DE</v>
      </c>
      <c r="B25" s="6" t="str">
        <f t="shared" si="2"/>
        <v>BXX_DEV1_FI1</v>
      </c>
      <c r="C25" s="6" t="str">
        <f>$C$3 &amp; " High Alarm Dialer Enable"</f>
        <v>Sample Flow High Alarm Dialer Enable</v>
      </c>
      <c r="D25" s="4">
        <f t="shared" si="0"/>
        <v>36</v>
      </c>
      <c r="E25" t="s">
        <v>1</v>
      </c>
      <c r="F25" t="s">
        <v>0</v>
      </c>
      <c r="G25" s="2">
        <v>600</v>
      </c>
      <c r="H25" t="s">
        <v>0</v>
      </c>
      <c r="I25" t="s">
        <v>40</v>
      </c>
      <c r="J25" t="s">
        <v>52</v>
      </c>
      <c r="K25" t="s">
        <v>53</v>
      </c>
      <c r="L25" t="s">
        <v>41</v>
      </c>
      <c r="M25">
        <v>1</v>
      </c>
      <c r="N25" t="s">
        <v>49</v>
      </c>
      <c r="O25" s="6" t="str">
        <f t="shared" si="3"/>
        <v>BXX</v>
      </c>
      <c r="P25" t="s">
        <v>1</v>
      </c>
      <c r="Q25" s="6" t="str">
        <f>$A$3&amp;".PB_HI.DE"</f>
        <v>BXX_DEV1_FI1.PB_HI.DE</v>
      </c>
      <c r="R25" t="s">
        <v>1</v>
      </c>
      <c r="S25" s="6" t="str">
        <f t="shared" si="1"/>
        <v>Sample Flow High Alarm Dialer Enable</v>
      </c>
      <c r="T25">
        <v>0</v>
      </c>
      <c r="U25">
        <v>0</v>
      </c>
    </row>
    <row r="26" spans="1:21" x14ac:dyDescent="0.25">
      <c r="A26" s="3" t="str">
        <f>$A$3&amp;"_"&amp;"PB_LO_DE"</f>
        <v>BXX_DEV1_FI1_PB_LO_DE</v>
      </c>
      <c r="B26" s="6" t="str">
        <f t="shared" si="2"/>
        <v>BXX_DEV1_FI1</v>
      </c>
      <c r="C26" s="6" t="str">
        <f>$C$3 &amp; " Low Alarm Dialer Enable"</f>
        <v>Sample Flow Low Alarm Dialer Enable</v>
      </c>
      <c r="D26" s="4">
        <f t="shared" si="0"/>
        <v>35</v>
      </c>
      <c r="E26" t="s">
        <v>1</v>
      </c>
      <c r="F26" t="s">
        <v>0</v>
      </c>
      <c r="G26" s="2">
        <v>600</v>
      </c>
      <c r="H26" t="s">
        <v>0</v>
      </c>
      <c r="I26" t="s">
        <v>40</v>
      </c>
      <c r="J26" t="s">
        <v>52</v>
      </c>
      <c r="K26" t="s">
        <v>53</v>
      </c>
      <c r="L26" t="s">
        <v>41</v>
      </c>
      <c r="M26">
        <v>1</v>
      </c>
      <c r="N26" t="s">
        <v>49</v>
      </c>
      <c r="O26" s="6" t="str">
        <f t="shared" si="3"/>
        <v>BXX</v>
      </c>
      <c r="P26" t="s">
        <v>1</v>
      </c>
      <c r="Q26" s="6" t="str">
        <f>$A$3&amp;".PB_LO.DE"</f>
        <v>BXX_DEV1_FI1.PB_LO.DE</v>
      </c>
      <c r="R26" t="s">
        <v>1</v>
      </c>
      <c r="S26" s="6" t="str">
        <f t="shared" si="1"/>
        <v>Sample Flow Low Alarm Dialer Enable</v>
      </c>
      <c r="T26">
        <v>0</v>
      </c>
      <c r="U26">
        <v>0</v>
      </c>
    </row>
    <row r="27" spans="1:21" x14ac:dyDescent="0.25">
      <c r="A27" s="3" t="str">
        <f>$A$3&amp;"_"&amp;"PB_LL_DE"</f>
        <v>BXX_DEV1_FI1_PB_LL_DE</v>
      </c>
      <c r="B27" s="6" t="str">
        <f t="shared" si="2"/>
        <v>BXX_DEV1_FI1</v>
      </c>
      <c r="C27" s="6" t="str">
        <f>$C$3 &amp; " LOLO Alarm Dialer Enable"</f>
        <v>Sample Flow LOLO Alarm Dialer Enable</v>
      </c>
      <c r="D27" s="4">
        <f t="shared" si="0"/>
        <v>36</v>
      </c>
      <c r="E27" t="s">
        <v>1</v>
      </c>
      <c r="F27" t="s">
        <v>0</v>
      </c>
      <c r="G27" s="2">
        <v>600</v>
      </c>
      <c r="H27" t="s">
        <v>0</v>
      </c>
      <c r="I27" t="s">
        <v>40</v>
      </c>
      <c r="J27" t="s">
        <v>52</v>
      </c>
      <c r="K27" t="s">
        <v>53</v>
      </c>
      <c r="L27" t="s">
        <v>41</v>
      </c>
      <c r="M27">
        <v>1</v>
      </c>
      <c r="N27" t="s">
        <v>49</v>
      </c>
      <c r="O27" s="6" t="str">
        <f t="shared" si="3"/>
        <v>BXX</v>
      </c>
      <c r="P27" t="s">
        <v>1</v>
      </c>
      <c r="Q27" s="6" t="str">
        <f>$A$3&amp;".PB_LL.DE"</f>
        <v>BXX_DEV1_FI1.PB_LL.DE</v>
      </c>
      <c r="R27" t="s">
        <v>1</v>
      </c>
      <c r="S27" s="6" t="str">
        <f t="shared" si="1"/>
        <v>Sample Flow LOLO Alarm Dialer Enable</v>
      </c>
      <c r="T27">
        <v>0</v>
      </c>
      <c r="U27">
        <v>0</v>
      </c>
    </row>
    <row r="28" spans="1:21" x14ac:dyDescent="0.25">
      <c r="A28" s="3" t="str">
        <f>$A$3&amp;"_"&amp;"PB_ER_.DE"</f>
        <v>BXX_DEV1_FI1_PB_ER_.DE</v>
      </c>
      <c r="B28" s="6" t="str">
        <f t="shared" si="2"/>
        <v>BXX_DEV1_FI1</v>
      </c>
      <c r="C28" s="6" t="str">
        <f>$C$3 &amp; " Signal Error Alarm Dialer En"</f>
        <v>Sample Flow Signal Error Alarm Dialer En</v>
      </c>
      <c r="D28" s="4">
        <f t="shared" si="0"/>
        <v>40</v>
      </c>
      <c r="E28" t="s">
        <v>1</v>
      </c>
      <c r="F28" t="s">
        <v>0</v>
      </c>
      <c r="G28" s="2">
        <v>600</v>
      </c>
      <c r="H28" t="s">
        <v>0</v>
      </c>
      <c r="I28" t="s">
        <v>40</v>
      </c>
      <c r="J28" t="s">
        <v>52</v>
      </c>
      <c r="K28" t="s">
        <v>53</v>
      </c>
      <c r="L28" t="s">
        <v>41</v>
      </c>
      <c r="M28">
        <v>1</v>
      </c>
      <c r="N28" t="s">
        <v>49</v>
      </c>
      <c r="O28" s="6" t="str">
        <f t="shared" si="3"/>
        <v>BXX</v>
      </c>
      <c r="P28" t="s">
        <v>1</v>
      </c>
      <c r="Q28" s="6" t="str">
        <f>$A$3&amp;".PB_ER.DE"</f>
        <v>BXX_DEV1_FI1.PB_ER.DE</v>
      </c>
      <c r="R28" t="s">
        <v>1</v>
      </c>
      <c r="S28" s="6" t="str">
        <f t="shared" si="1"/>
        <v>Sample Flow Signal Error Alarm Dialer En</v>
      </c>
      <c r="T28">
        <v>0</v>
      </c>
      <c r="U28">
        <v>0</v>
      </c>
    </row>
    <row r="29" spans="1:21" x14ac:dyDescent="0.25">
      <c r="A29" s="3" t="str">
        <f>$A$3&amp;"_"&amp;"PB_HH_DE"</f>
        <v>BXX_DEV1_FI1_PB_HH_DE</v>
      </c>
      <c r="B29" s="6" t="str">
        <f t="shared" si="2"/>
        <v>BXX_DEV1_FI1</v>
      </c>
      <c r="C29" s="6" t="str">
        <f>$C$3 &amp; " HIHI Alarm Dialer Enable"</f>
        <v>Sample Flow HIHI Alarm Dialer Enable</v>
      </c>
      <c r="D29" s="4">
        <f t="shared" si="0"/>
        <v>36</v>
      </c>
      <c r="E29" t="s">
        <v>1</v>
      </c>
      <c r="F29" t="s">
        <v>0</v>
      </c>
      <c r="G29" s="2">
        <v>600</v>
      </c>
      <c r="H29" t="s">
        <v>0</v>
      </c>
      <c r="I29" t="s">
        <v>40</v>
      </c>
      <c r="J29" t="s">
        <v>52</v>
      </c>
      <c r="K29" t="s">
        <v>53</v>
      </c>
      <c r="L29" t="s">
        <v>41</v>
      </c>
      <c r="M29">
        <v>1</v>
      </c>
      <c r="N29" t="s">
        <v>49</v>
      </c>
      <c r="O29" s="6" t="str">
        <f t="shared" si="3"/>
        <v>BXX</v>
      </c>
      <c r="P29" t="s">
        <v>1</v>
      </c>
      <c r="Q29" s="6" t="str">
        <f>$A$3&amp;".PB_HH.DE"</f>
        <v>BXX_DEV1_FI1.PB_HH.DE</v>
      </c>
      <c r="R29" t="s">
        <v>1</v>
      </c>
      <c r="S29" s="6" t="str">
        <f t="shared" si="1"/>
        <v>Sample Flow HIHI Alarm Dialer Enable</v>
      </c>
      <c r="T29">
        <v>0</v>
      </c>
      <c r="U29">
        <v>0</v>
      </c>
    </row>
    <row r="30" spans="1:21" x14ac:dyDescent="0.25">
      <c r="A30" s="3" t="str">
        <f>$A$3&amp;"_"&amp;"PB_AE_DE"</f>
        <v>BXX_DEV1_FI1_PB_AE_DE</v>
      </c>
      <c r="B30" s="6" t="str">
        <f t="shared" si="2"/>
        <v>BXX_DEV1_FI1</v>
      </c>
      <c r="C30" s="6" t="str">
        <f>$C$3 &amp; " Alarms Dialer Enable"</f>
        <v>Sample Flow Alarms Dialer Enable</v>
      </c>
      <c r="D30" s="4">
        <f t="shared" si="0"/>
        <v>32</v>
      </c>
      <c r="E30" t="s">
        <v>1</v>
      </c>
      <c r="F30" t="s">
        <v>0</v>
      </c>
      <c r="G30" s="2">
        <v>600</v>
      </c>
      <c r="H30" t="s">
        <v>0</v>
      </c>
      <c r="I30" t="s">
        <v>40</v>
      </c>
      <c r="J30" t="s">
        <v>52</v>
      </c>
      <c r="K30" t="s">
        <v>53</v>
      </c>
      <c r="L30" t="s">
        <v>41</v>
      </c>
      <c r="M30">
        <v>1</v>
      </c>
      <c r="N30" t="s">
        <v>49</v>
      </c>
      <c r="O30" s="6" t="str">
        <f t="shared" si="3"/>
        <v>BXX</v>
      </c>
      <c r="P30" t="s">
        <v>1</v>
      </c>
      <c r="Q30" s="6" t="str">
        <f>$A$3&amp;".PB_AE.DE"</f>
        <v>BXX_DEV1_FI1.PB_AE.DE</v>
      </c>
      <c r="R30" t="s">
        <v>1</v>
      </c>
      <c r="S30" s="6" t="str">
        <f t="shared" ref="S30" si="4">C30</f>
        <v>Sample Flow Alarms Dialer Enable</v>
      </c>
      <c r="T30">
        <v>0</v>
      </c>
      <c r="U30">
        <v>0</v>
      </c>
    </row>
    <row r="31" spans="1:21" x14ac:dyDescent="0.25">
      <c r="A31" s="3" t="str">
        <f>$A$3&amp;"_"&amp;"PB_HI_SR"</f>
        <v>BXX_DEV1_FI1_PB_HI_SR</v>
      </c>
      <c r="B31" s="6" t="str">
        <f t="shared" si="2"/>
        <v>BXX_DEV1_FI1</v>
      </c>
      <c r="C31" s="6" t="str">
        <f>$C$3 &amp; " High Alarm Sup Enable"</f>
        <v>Sample Flow High Alarm Sup Enable</v>
      </c>
      <c r="D31" s="4">
        <f t="shared" si="0"/>
        <v>33</v>
      </c>
      <c r="E31" t="s">
        <v>1</v>
      </c>
      <c r="F31" t="s">
        <v>0</v>
      </c>
      <c r="G31" s="2">
        <v>600</v>
      </c>
      <c r="H31" t="s">
        <v>0</v>
      </c>
      <c r="I31" t="s">
        <v>40</v>
      </c>
      <c r="J31" t="s">
        <v>52</v>
      </c>
      <c r="K31" t="s">
        <v>53</v>
      </c>
      <c r="L31" t="s">
        <v>41</v>
      </c>
      <c r="M31">
        <v>1</v>
      </c>
      <c r="N31" t="s">
        <v>49</v>
      </c>
      <c r="O31" s="6" t="str">
        <f t="shared" si="3"/>
        <v>BXX</v>
      </c>
      <c r="P31" t="s">
        <v>1</v>
      </c>
      <c r="Q31" s="6" t="str">
        <f>$A$3&amp;".PB_HI.SR"</f>
        <v>BXX_DEV1_FI1.PB_HI.SR</v>
      </c>
      <c r="R31" t="s">
        <v>1</v>
      </c>
      <c r="S31" s="6" t="str">
        <f t="shared" si="1"/>
        <v>Sample Flow High Alarm Sup Enable</v>
      </c>
      <c r="T31">
        <v>0</v>
      </c>
      <c r="U31">
        <v>0</v>
      </c>
    </row>
    <row r="32" spans="1:21" x14ac:dyDescent="0.25">
      <c r="A32" s="3" t="str">
        <f>$A$3&amp;"_"&amp;"PB_LO_SR"</f>
        <v>BXX_DEV1_FI1_PB_LO_SR</v>
      </c>
      <c r="B32" s="6" t="str">
        <f t="shared" si="2"/>
        <v>BXX_DEV1_FI1</v>
      </c>
      <c r="C32" s="6" t="str">
        <f>$C$3 &amp; " Low Alarm Sup Enable"</f>
        <v>Sample Flow Low Alarm Sup Enable</v>
      </c>
      <c r="D32" s="4">
        <f t="shared" si="0"/>
        <v>32</v>
      </c>
      <c r="E32" t="s">
        <v>1</v>
      </c>
      <c r="F32" t="s">
        <v>0</v>
      </c>
      <c r="G32" s="2">
        <v>600</v>
      </c>
      <c r="H32" t="s">
        <v>0</v>
      </c>
      <c r="I32" t="s">
        <v>40</v>
      </c>
      <c r="J32" t="s">
        <v>52</v>
      </c>
      <c r="K32" t="s">
        <v>53</v>
      </c>
      <c r="L32" t="s">
        <v>41</v>
      </c>
      <c r="M32">
        <v>1</v>
      </c>
      <c r="N32" t="s">
        <v>49</v>
      </c>
      <c r="O32" s="6" t="str">
        <f t="shared" si="3"/>
        <v>BXX</v>
      </c>
      <c r="P32" t="s">
        <v>1</v>
      </c>
      <c r="Q32" s="6" t="str">
        <f>$A$3&amp;".PB_LO.SR"</f>
        <v>BXX_DEV1_FI1.PB_LO.SR</v>
      </c>
      <c r="R32" t="s">
        <v>1</v>
      </c>
      <c r="S32" s="6" t="str">
        <f t="shared" si="1"/>
        <v>Sample Flow Low Alarm Sup Enable</v>
      </c>
      <c r="T32">
        <v>0</v>
      </c>
      <c r="U32">
        <v>0</v>
      </c>
    </row>
    <row r="33" spans="1:64" x14ac:dyDescent="0.25">
      <c r="A33" s="3" t="str">
        <f>$A$3&amp;"_"&amp;"PB_LL_SR"</f>
        <v>BXX_DEV1_FI1_PB_LL_SR</v>
      </c>
      <c r="B33" s="6" t="str">
        <f t="shared" si="2"/>
        <v>BXX_DEV1_FI1</v>
      </c>
      <c r="C33" s="6" t="str">
        <f>$C$3 &amp; " LOLO Alarm Sup Enable"</f>
        <v>Sample Flow LOLO Alarm Sup Enable</v>
      </c>
      <c r="D33" s="4">
        <f t="shared" si="0"/>
        <v>33</v>
      </c>
      <c r="E33" t="s">
        <v>1</v>
      </c>
      <c r="F33" t="s">
        <v>0</v>
      </c>
      <c r="G33" s="2">
        <v>600</v>
      </c>
      <c r="H33" t="s">
        <v>0</v>
      </c>
      <c r="I33" t="s">
        <v>40</v>
      </c>
      <c r="J33" t="s">
        <v>52</v>
      </c>
      <c r="K33" t="s">
        <v>53</v>
      </c>
      <c r="L33" t="s">
        <v>41</v>
      </c>
      <c r="M33">
        <v>1</v>
      </c>
      <c r="N33" t="s">
        <v>49</v>
      </c>
      <c r="O33" s="6" t="str">
        <f t="shared" si="3"/>
        <v>BXX</v>
      </c>
      <c r="P33" t="s">
        <v>1</v>
      </c>
      <c r="Q33" s="6" t="str">
        <f>$A$3&amp;".PB_LL.SR"</f>
        <v>BXX_DEV1_FI1.PB_LL.SR</v>
      </c>
      <c r="R33" t="s">
        <v>1</v>
      </c>
      <c r="S33" s="6" t="str">
        <f t="shared" si="1"/>
        <v>Sample Flow LOLO Alarm Sup Enable</v>
      </c>
      <c r="T33">
        <v>0</v>
      </c>
      <c r="U33">
        <v>0</v>
      </c>
    </row>
    <row r="34" spans="1:64" x14ac:dyDescent="0.25">
      <c r="A34" s="3" t="str">
        <f>$A$3&amp;"_"&amp;"PB_ER_SR"</f>
        <v>BXX_DEV1_FI1_PB_ER_SR</v>
      </c>
      <c r="B34" s="6" t="str">
        <f t="shared" si="2"/>
        <v>BXX_DEV1_FI1</v>
      </c>
      <c r="C34" s="6" t="str">
        <f>$C$3 &amp; " Signal Error Alarm Sup En"</f>
        <v>Sample Flow Signal Error Alarm Sup En</v>
      </c>
      <c r="D34" s="4">
        <f t="shared" si="0"/>
        <v>37</v>
      </c>
      <c r="E34" t="s">
        <v>1</v>
      </c>
      <c r="F34" t="s">
        <v>0</v>
      </c>
      <c r="G34" s="2">
        <v>600</v>
      </c>
      <c r="H34" t="s">
        <v>0</v>
      </c>
      <c r="I34" t="s">
        <v>40</v>
      </c>
      <c r="J34" t="s">
        <v>52</v>
      </c>
      <c r="K34" t="s">
        <v>53</v>
      </c>
      <c r="L34" t="s">
        <v>41</v>
      </c>
      <c r="M34">
        <v>1</v>
      </c>
      <c r="N34" t="s">
        <v>49</v>
      </c>
      <c r="O34" s="6" t="str">
        <f t="shared" si="3"/>
        <v>BXX</v>
      </c>
      <c r="P34" t="s">
        <v>1</v>
      </c>
      <c r="Q34" s="6" t="str">
        <f>$A$3&amp;".PB_ER.SR"</f>
        <v>BXX_DEV1_FI1.PB_ER.SR</v>
      </c>
      <c r="R34" t="s">
        <v>1</v>
      </c>
      <c r="S34" s="6" t="str">
        <f t="shared" si="1"/>
        <v>Sample Flow Signal Error Alarm Sup En</v>
      </c>
      <c r="T34">
        <v>0</v>
      </c>
      <c r="U34">
        <v>0</v>
      </c>
    </row>
    <row r="35" spans="1:64" x14ac:dyDescent="0.25">
      <c r="A35" s="3" t="str">
        <f>$A$3&amp;"_"&amp;"PB_HH_SR"</f>
        <v>BXX_DEV1_FI1_PB_HH_SR</v>
      </c>
      <c r="B35" s="6" t="str">
        <f t="shared" si="2"/>
        <v>BXX_DEV1_FI1</v>
      </c>
      <c r="C35" s="6" t="str">
        <f>$C$3 &amp; " HIHI Alarm Sup Enable"</f>
        <v>Sample Flow HIHI Alarm Sup Enable</v>
      </c>
      <c r="D35" s="4">
        <f t="shared" si="0"/>
        <v>33</v>
      </c>
      <c r="E35" t="s">
        <v>1</v>
      </c>
      <c r="F35" t="s">
        <v>0</v>
      </c>
      <c r="G35" s="2">
        <v>600</v>
      </c>
      <c r="H35" t="s">
        <v>0</v>
      </c>
      <c r="I35" t="s">
        <v>40</v>
      </c>
      <c r="J35" t="s">
        <v>52</v>
      </c>
      <c r="K35" t="s">
        <v>53</v>
      </c>
      <c r="L35" t="s">
        <v>41</v>
      </c>
      <c r="M35">
        <v>1</v>
      </c>
      <c r="N35" t="s">
        <v>49</v>
      </c>
      <c r="O35" s="6" t="str">
        <f t="shared" si="3"/>
        <v>BXX</v>
      </c>
      <c r="P35" t="s">
        <v>1</v>
      </c>
      <c r="Q35" s="6" t="str">
        <f>$A$3&amp;".PB_HH.SR"</f>
        <v>BXX_DEV1_FI1.PB_HH.SR</v>
      </c>
      <c r="R35" t="s">
        <v>1</v>
      </c>
      <c r="S35" s="6" t="str">
        <f t="shared" ref="S35" si="5">C35</f>
        <v>Sample Flow HIHI Alarm Sup Enable</v>
      </c>
      <c r="T35">
        <v>0</v>
      </c>
      <c r="U35">
        <v>0</v>
      </c>
    </row>
    <row r="36" spans="1:64" x14ac:dyDescent="0.25">
      <c r="A36" s="3" t="str">
        <f>$A$3&amp;"_"&amp;"PB_AE_SR"</f>
        <v>BXX_DEV1_FI1_PB_AE_SR</v>
      </c>
      <c r="B36" s="6" t="str">
        <f t="shared" si="2"/>
        <v>BXX_DEV1_FI1</v>
      </c>
      <c r="C36" s="6" t="str">
        <f>$C$3 &amp; " Alarms Sup Enable"</f>
        <v>Sample Flow Alarms Sup Enable</v>
      </c>
      <c r="D36" s="4">
        <f t="shared" si="0"/>
        <v>29</v>
      </c>
      <c r="E36" t="s">
        <v>1</v>
      </c>
      <c r="F36" t="s">
        <v>0</v>
      </c>
      <c r="G36" s="2">
        <v>600</v>
      </c>
      <c r="H36" t="s">
        <v>0</v>
      </c>
      <c r="I36" t="s">
        <v>40</v>
      </c>
      <c r="J36" t="s">
        <v>52</v>
      </c>
      <c r="K36" t="s">
        <v>53</v>
      </c>
      <c r="L36" t="s">
        <v>41</v>
      </c>
      <c r="M36">
        <v>1</v>
      </c>
      <c r="N36" t="s">
        <v>49</v>
      </c>
      <c r="O36" s="6" t="str">
        <f t="shared" si="3"/>
        <v>BXX</v>
      </c>
      <c r="P36" t="s">
        <v>1</v>
      </c>
      <c r="Q36" s="6" t="str">
        <f>$A$3&amp;".PB_AE.SR"</f>
        <v>BXX_DEV1_FI1.PB_AE.SR</v>
      </c>
      <c r="R36" t="s">
        <v>1</v>
      </c>
      <c r="S36" s="6" t="str">
        <f t="shared" si="1"/>
        <v>Sample Flow Alarms Sup Enable</v>
      </c>
      <c r="T36">
        <v>0</v>
      </c>
      <c r="U36">
        <v>0</v>
      </c>
    </row>
    <row r="37" spans="1:64" s="262" customFormat="1" x14ac:dyDescent="0.25">
      <c r="A37" s="262" t="s">
        <v>65</v>
      </c>
      <c r="B37" s="262" t="s">
        <v>4</v>
      </c>
      <c r="C37" s="262" t="s">
        <v>5</v>
      </c>
      <c r="E37" s="262" t="s">
        <v>30</v>
      </c>
      <c r="F37" s="262" t="s">
        <v>6</v>
      </c>
      <c r="G37" s="262" t="s">
        <v>7</v>
      </c>
      <c r="H37" s="262" t="s">
        <v>31</v>
      </c>
      <c r="I37" s="262" t="s">
        <v>66</v>
      </c>
      <c r="J37" s="262" t="s">
        <v>67</v>
      </c>
      <c r="K37" s="262" t="s">
        <v>68</v>
      </c>
      <c r="L37" s="262" t="s">
        <v>69</v>
      </c>
      <c r="M37" s="262" t="s">
        <v>70</v>
      </c>
      <c r="N37" s="262" t="s">
        <v>71</v>
      </c>
      <c r="O37" s="262" t="s">
        <v>72</v>
      </c>
      <c r="P37" s="262" t="s">
        <v>73</v>
      </c>
      <c r="Q37" s="262" t="s">
        <v>74</v>
      </c>
      <c r="R37" s="262" t="s">
        <v>75</v>
      </c>
      <c r="S37" s="262" t="s">
        <v>76</v>
      </c>
      <c r="T37" s="262" t="s">
        <v>77</v>
      </c>
      <c r="U37" s="262" t="s">
        <v>78</v>
      </c>
      <c r="V37" s="262" t="s">
        <v>79</v>
      </c>
      <c r="W37" s="262" t="s">
        <v>80</v>
      </c>
      <c r="X37" s="262" t="s">
        <v>81</v>
      </c>
      <c r="Y37" s="262" t="s">
        <v>82</v>
      </c>
      <c r="Z37" s="262" t="s">
        <v>83</v>
      </c>
      <c r="AA37" s="262" t="s">
        <v>84</v>
      </c>
      <c r="AB37" s="262" t="s">
        <v>85</v>
      </c>
      <c r="AC37" s="262" t="s">
        <v>86</v>
      </c>
      <c r="AD37" s="262" t="s">
        <v>87</v>
      </c>
      <c r="AE37" s="262" t="s">
        <v>88</v>
      </c>
      <c r="AF37" s="262" t="s">
        <v>89</v>
      </c>
      <c r="AG37" s="262" t="s">
        <v>90</v>
      </c>
      <c r="AH37" s="262" t="s">
        <v>91</v>
      </c>
      <c r="AI37" s="262" t="s">
        <v>92</v>
      </c>
      <c r="AJ37" s="262" t="s">
        <v>93</v>
      </c>
      <c r="AK37" s="262" t="s">
        <v>94</v>
      </c>
      <c r="AL37" s="262" t="s">
        <v>95</v>
      </c>
      <c r="AM37" s="262" t="s">
        <v>96</v>
      </c>
      <c r="AN37" s="262" t="s">
        <v>97</v>
      </c>
      <c r="AO37" s="262" t="s">
        <v>37</v>
      </c>
      <c r="AP37" s="262" t="s">
        <v>38</v>
      </c>
      <c r="AQ37" s="262" t="s">
        <v>8</v>
      </c>
      <c r="AR37" s="262" t="s">
        <v>9</v>
      </c>
      <c r="AS37" s="262" t="s">
        <v>10</v>
      </c>
      <c r="AT37" s="262" t="s">
        <v>11</v>
      </c>
      <c r="AU37" s="262" t="s">
        <v>12</v>
      </c>
      <c r="AV37" s="262" t="s">
        <v>13</v>
      </c>
      <c r="AW37" s="262" t="s">
        <v>14</v>
      </c>
      <c r="AX37" s="262" t="s">
        <v>16</v>
      </c>
      <c r="AY37" s="262" t="s">
        <v>17</v>
      </c>
      <c r="AZ37" s="262" t="s">
        <v>18</v>
      </c>
      <c r="BA37" s="262" t="s">
        <v>19</v>
      </c>
      <c r="BB37" s="262" t="s">
        <v>20</v>
      </c>
      <c r="BC37" s="262" t="s">
        <v>21</v>
      </c>
      <c r="BD37" s="262" t="s">
        <v>22</v>
      </c>
      <c r="BE37" s="262" t="s">
        <v>39</v>
      </c>
    </row>
    <row r="38" spans="1:64" s="262" customFormat="1" x14ac:dyDescent="0.25">
      <c r="A38" s="262" t="s">
        <v>188</v>
      </c>
      <c r="B38" s="262" t="s">
        <v>144</v>
      </c>
      <c r="C38" s="262" t="s">
        <v>528</v>
      </c>
      <c r="D38" s="4">
        <f t="shared" ref="D38:D40" si="6">LEN(C38)</f>
        <v>39</v>
      </c>
      <c r="E38" s="262" t="s">
        <v>1</v>
      </c>
      <c r="F38" s="262" t="s">
        <v>1</v>
      </c>
      <c r="G38" s="262">
        <v>0</v>
      </c>
      <c r="H38" s="262" t="s">
        <v>0</v>
      </c>
      <c r="I38" s="262" t="s">
        <v>1</v>
      </c>
      <c r="J38" s="262">
        <v>0</v>
      </c>
      <c r="K38" s="262">
        <v>0</v>
      </c>
      <c r="M38" s="262">
        <v>1096810496</v>
      </c>
      <c r="N38" s="262">
        <v>0</v>
      </c>
      <c r="O38" s="262">
        <v>9999</v>
      </c>
      <c r="P38" s="262">
        <v>0</v>
      </c>
      <c r="Q38" s="262">
        <v>0</v>
      </c>
      <c r="R38" s="262" t="s">
        <v>40</v>
      </c>
      <c r="S38" s="262">
        <v>0</v>
      </c>
      <c r="T38" s="262">
        <v>1</v>
      </c>
      <c r="U38" s="262" t="s">
        <v>40</v>
      </c>
      <c r="V38" s="262">
        <v>0</v>
      </c>
      <c r="W38" s="262">
        <v>1</v>
      </c>
      <c r="X38" s="262" t="s">
        <v>40</v>
      </c>
      <c r="Y38" s="262">
        <v>0</v>
      </c>
      <c r="Z38" s="262">
        <v>1</v>
      </c>
      <c r="AA38" s="262" t="s">
        <v>40</v>
      </c>
      <c r="AB38" s="262">
        <v>0</v>
      </c>
      <c r="AC38" s="262">
        <v>1</v>
      </c>
      <c r="AD38" s="262" t="s">
        <v>40</v>
      </c>
      <c r="AE38" s="262">
        <v>0</v>
      </c>
      <c r="AF38" s="262">
        <v>1</v>
      </c>
      <c r="AG38" s="262" t="s">
        <v>40</v>
      </c>
      <c r="AH38" s="262">
        <v>0</v>
      </c>
      <c r="AI38" s="262">
        <v>1</v>
      </c>
      <c r="AJ38" s="262">
        <v>0</v>
      </c>
      <c r="AK38" s="262" t="s">
        <v>40</v>
      </c>
      <c r="AL38" s="262">
        <v>0</v>
      </c>
      <c r="AM38" s="262">
        <v>1</v>
      </c>
      <c r="AN38" s="262" t="s">
        <v>98</v>
      </c>
      <c r="AO38" s="262" t="s">
        <v>528</v>
      </c>
      <c r="AP38" s="262">
        <v>0</v>
      </c>
      <c r="AQ38" s="262">
        <v>0</v>
      </c>
      <c r="AR38" s="262">
        <v>0</v>
      </c>
      <c r="AS38" s="262">
        <v>0</v>
      </c>
      <c r="AT38" s="262">
        <v>0</v>
      </c>
      <c r="AU38" s="262">
        <v>0</v>
      </c>
      <c r="AV38" s="262">
        <v>0</v>
      </c>
      <c r="AW38" s="262">
        <v>0</v>
      </c>
    </row>
    <row r="39" spans="1:64" s="262" customFormat="1" x14ac:dyDescent="0.25">
      <c r="A39" s="262" t="s">
        <v>214</v>
      </c>
      <c r="B39" s="262" t="s">
        <v>144</v>
      </c>
      <c r="C39" s="262" t="s">
        <v>215</v>
      </c>
      <c r="D39" s="4">
        <f t="shared" si="6"/>
        <v>46</v>
      </c>
      <c r="E39" s="262" t="s">
        <v>1</v>
      </c>
      <c r="F39" s="262" t="s">
        <v>1</v>
      </c>
      <c r="G39" s="262">
        <v>0</v>
      </c>
      <c r="H39" s="262" t="s">
        <v>0</v>
      </c>
      <c r="I39" s="262" t="s">
        <v>1</v>
      </c>
      <c r="J39" s="262">
        <v>0</v>
      </c>
      <c r="K39" s="262">
        <v>0</v>
      </c>
      <c r="M39" s="262">
        <v>2</v>
      </c>
      <c r="N39" s="262">
        <v>0</v>
      </c>
      <c r="O39" s="262">
        <v>3</v>
      </c>
      <c r="P39" s="262">
        <v>0</v>
      </c>
      <c r="Q39" s="262">
        <v>0</v>
      </c>
      <c r="R39" s="262" t="s">
        <v>40</v>
      </c>
      <c r="S39" s="262">
        <v>0</v>
      </c>
      <c r="T39" s="262">
        <v>1</v>
      </c>
      <c r="U39" s="262" t="s">
        <v>40</v>
      </c>
      <c r="V39" s="262">
        <v>0</v>
      </c>
      <c r="W39" s="262">
        <v>1</v>
      </c>
      <c r="X39" s="262" t="s">
        <v>40</v>
      </c>
      <c r="Y39" s="262">
        <v>0</v>
      </c>
      <c r="Z39" s="262">
        <v>1</v>
      </c>
      <c r="AA39" s="262" t="s">
        <v>40</v>
      </c>
      <c r="AB39" s="262">
        <v>0</v>
      </c>
      <c r="AC39" s="262">
        <v>1</v>
      </c>
      <c r="AD39" s="262" t="s">
        <v>40</v>
      </c>
      <c r="AE39" s="262">
        <v>0</v>
      </c>
      <c r="AF39" s="262">
        <v>1</v>
      </c>
      <c r="AG39" s="262" t="s">
        <v>40</v>
      </c>
      <c r="AH39" s="262">
        <v>0</v>
      </c>
      <c r="AI39" s="262">
        <v>1</v>
      </c>
      <c r="AJ39" s="262">
        <v>0</v>
      </c>
      <c r="AK39" s="262" t="s">
        <v>40</v>
      </c>
      <c r="AL39" s="262">
        <v>0</v>
      </c>
      <c r="AM39" s="262">
        <v>1</v>
      </c>
      <c r="AN39" s="262" t="s">
        <v>98</v>
      </c>
      <c r="AO39" s="262" t="s">
        <v>215</v>
      </c>
      <c r="AP39" s="262">
        <v>0</v>
      </c>
      <c r="AQ39" s="262">
        <v>0</v>
      </c>
      <c r="AR39" s="262">
        <v>0</v>
      </c>
      <c r="AS39" s="262">
        <v>0</v>
      </c>
      <c r="AT39" s="262">
        <v>0</v>
      </c>
      <c r="AU39" s="262">
        <v>0</v>
      </c>
      <c r="AV39" s="262">
        <v>0</v>
      </c>
      <c r="AW39" s="262">
        <v>0</v>
      </c>
    </row>
    <row r="40" spans="1:64" s="262" customFormat="1" x14ac:dyDescent="0.25">
      <c r="A40" s="262" t="s">
        <v>216</v>
      </c>
      <c r="B40" s="262" t="s">
        <v>144</v>
      </c>
      <c r="C40" s="262" t="s">
        <v>217</v>
      </c>
      <c r="D40" s="4">
        <f t="shared" si="6"/>
        <v>46</v>
      </c>
      <c r="E40" s="262" t="s">
        <v>1</v>
      </c>
      <c r="F40" s="262" t="s">
        <v>1</v>
      </c>
      <c r="G40" s="262">
        <v>0</v>
      </c>
      <c r="H40" s="262" t="s">
        <v>0</v>
      </c>
      <c r="I40" s="262" t="s">
        <v>1</v>
      </c>
      <c r="J40" s="262">
        <v>0</v>
      </c>
      <c r="K40" s="262">
        <v>0</v>
      </c>
      <c r="M40" s="262">
        <v>2</v>
      </c>
      <c r="N40" s="262">
        <v>0</v>
      </c>
      <c r="O40" s="262">
        <v>3</v>
      </c>
      <c r="P40" s="262">
        <v>0</v>
      </c>
      <c r="Q40" s="262">
        <v>0</v>
      </c>
      <c r="R40" s="262" t="s">
        <v>40</v>
      </c>
      <c r="S40" s="262">
        <v>0</v>
      </c>
      <c r="T40" s="262">
        <v>1</v>
      </c>
      <c r="U40" s="262" t="s">
        <v>40</v>
      </c>
      <c r="V40" s="262">
        <v>0</v>
      </c>
      <c r="W40" s="262">
        <v>1</v>
      </c>
      <c r="X40" s="262" t="s">
        <v>40</v>
      </c>
      <c r="Y40" s="262">
        <v>0</v>
      </c>
      <c r="Z40" s="262">
        <v>1</v>
      </c>
      <c r="AA40" s="262" t="s">
        <v>40</v>
      </c>
      <c r="AB40" s="262">
        <v>0</v>
      </c>
      <c r="AC40" s="262">
        <v>1</v>
      </c>
      <c r="AD40" s="262" t="s">
        <v>40</v>
      </c>
      <c r="AE40" s="262">
        <v>0</v>
      </c>
      <c r="AF40" s="262">
        <v>1</v>
      </c>
      <c r="AG40" s="262" t="s">
        <v>40</v>
      </c>
      <c r="AH40" s="262">
        <v>0</v>
      </c>
      <c r="AI40" s="262">
        <v>1</v>
      </c>
      <c r="AJ40" s="262">
        <v>0</v>
      </c>
      <c r="AK40" s="262" t="s">
        <v>40</v>
      </c>
      <c r="AL40" s="262">
        <v>0</v>
      </c>
      <c r="AM40" s="262">
        <v>1</v>
      </c>
      <c r="AN40" s="262" t="s">
        <v>98</v>
      </c>
      <c r="AO40" s="262" t="s">
        <v>217</v>
      </c>
      <c r="AP40" s="262">
        <v>0</v>
      </c>
      <c r="AQ40" s="262">
        <v>0</v>
      </c>
      <c r="AR40" s="262">
        <v>0</v>
      </c>
      <c r="AS40" s="262">
        <v>0</v>
      </c>
      <c r="AT40" s="262">
        <v>0</v>
      </c>
      <c r="AU40" s="262">
        <v>0</v>
      </c>
      <c r="AV40" s="262">
        <v>0</v>
      </c>
      <c r="AW40" s="262">
        <v>0</v>
      </c>
    </row>
    <row r="41" spans="1:64" x14ac:dyDescent="0.25">
      <c r="A41" t="s">
        <v>100</v>
      </c>
      <c r="B41" t="s">
        <v>4</v>
      </c>
      <c r="C41" t="s">
        <v>5</v>
      </c>
      <c r="E41" t="s">
        <v>30</v>
      </c>
      <c r="F41" t="s">
        <v>6</v>
      </c>
      <c r="G41" t="s">
        <v>7</v>
      </c>
      <c r="H41" t="s">
        <v>31</v>
      </c>
      <c r="I41" t="s">
        <v>66</v>
      </c>
      <c r="J41" t="s">
        <v>67</v>
      </c>
      <c r="K41" t="s">
        <v>68</v>
      </c>
      <c r="L41" t="s">
        <v>69</v>
      </c>
      <c r="M41" t="s">
        <v>70</v>
      </c>
      <c r="N41" t="s">
        <v>101</v>
      </c>
      <c r="O41" t="s">
        <v>102</v>
      </c>
      <c r="P41" t="s">
        <v>73</v>
      </c>
      <c r="Q41" t="s">
        <v>74</v>
      </c>
      <c r="R41" t="s">
        <v>75</v>
      </c>
      <c r="S41" t="s">
        <v>76</v>
      </c>
      <c r="T41" t="s">
        <v>77</v>
      </c>
      <c r="U41" t="s">
        <v>78</v>
      </c>
      <c r="V41" t="s">
        <v>79</v>
      </c>
      <c r="W41" t="s">
        <v>80</v>
      </c>
      <c r="X41" t="s">
        <v>81</v>
      </c>
      <c r="Y41" t="s">
        <v>82</v>
      </c>
      <c r="Z41" t="s">
        <v>83</v>
      </c>
      <c r="AA41" t="s">
        <v>84</v>
      </c>
      <c r="AB41" t="s">
        <v>85</v>
      </c>
      <c r="AC41" t="s">
        <v>86</v>
      </c>
      <c r="AD41" t="s">
        <v>87</v>
      </c>
      <c r="AE41" t="s">
        <v>88</v>
      </c>
      <c r="AF41" t="s">
        <v>89</v>
      </c>
      <c r="AG41" t="s">
        <v>90</v>
      </c>
      <c r="AH41" t="s">
        <v>91</v>
      </c>
      <c r="AI41" t="s">
        <v>92</v>
      </c>
      <c r="AJ41" t="s">
        <v>93</v>
      </c>
      <c r="AK41" t="s">
        <v>94</v>
      </c>
      <c r="AL41" t="s">
        <v>95</v>
      </c>
      <c r="AM41" t="s">
        <v>96</v>
      </c>
      <c r="AN41" t="s">
        <v>97</v>
      </c>
      <c r="AO41" t="s">
        <v>103</v>
      </c>
      <c r="AP41" t="s">
        <v>104</v>
      </c>
      <c r="AQ41" t="s">
        <v>105</v>
      </c>
      <c r="AR41" t="s">
        <v>45</v>
      </c>
      <c r="AS41" t="s">
        <v>46</v>
      </c>
      <c r="AT41" t="s">
        <v>47</v>
      </c>
      <c r="AU41" t="s">
        <v>48</v>
      </c>
      <c r="AV41" t="s">
        <v>37</v>
      </c>
      <c r="AW41" t="s">
        <v>38</v>
      </c>
      <c r="AX41" t="s">
        <v>8</v>
      </c>
      <c r="AY41" t="s">
        <v>9</v>
      </c>
      <c r="AZ41" t="s">
        <v>10</v>
      </c>
      <c r="BA41" t="s">
        <v>11</v>
      </c>
      <c r="BB41" t="s">
        <v>12</v>
      </c>
      <c r="BC41" t="s">
        <v>13</v>
      </c>
      <c r="BD41" t="s">
        <v>14</v>
      </c>
      <c r="BE41" t="s">
        <v>16</v>
      </c>
      <c r="BF41" t="s">
        <v>17</v>
      </c>
      <c r="BG41" t="s">
        <v>18</v>
      </c>
      <c r="BH41" t="s">
        <v>19</v>
      </c>
      <c r="BI41" t="s">
        <v>20</v>
      </c>
      <c r="BJ41" t="s">
        <v>21</v>
      </c>
      <c r="BK41" t="s">
        <v>22</v>
      </c>
      <c r="BL41" t="s">
        <v>39</v>
      </c>
    </row>
    <row r="42" spans="1:64" x14ac:dyDescent="0.25">
      <c r="A42" s="6" t="str">
        <f>$A$3&amp;"_"&amp;"AI_VI"</f>
        <v>BXX_DEV1_FI1_AI_VI</v>
      </c>
      <c r="B42" s="6" t="str">
        <f t="shared" ref="B42:B45" si="7">$A$3</f>
        <v>BXX_DEV1_FI1</v>
      </c>
      <c r="C42" s="6" t="str">
        <f>$C$3 &amp; " Number of Visible Eng Values"</f>
        <v>Sample Flow Number of Visible Eng Values</v>
      </c>
      <c r="D42" s="4">
        <f t="shared" ref="D42:D45" si="8">LEN(C42)</f>
        <v>40</v>
      </c>
      <c r="E42" t="s">
        <v>1</v>
      </c>
      <c r="F42" t="s">
        <v>0</v>
      </c>
      <c r="G42" s="2">
        <v>700</v>
      </c>
      <c r="H42" t="s">
        <v>0</v>
      </c>
      <c r="I42" t="s">
        <v>1</v>
      </c>
      <c r="J42">
        <v>0</v>
      </c>
      <c r="K42">
        <v>0</v>
      </c>
      <c r="M42" s="6">
        <f>N42</f>
        <v>1</v>
      </c>
      <c r="N42">
        <v>1</v>
      </c>
      <c r="O42">
        <v>3</v>
      </c>
      <c r="P42">
        <v>0</v>
      </c>
      <c r="Q42">
        <v>0</v>
      </c>
      <c r="R42" t="s">
        <v>40</v>
      </c>
      <c r="S42">
        <v>0</v>
      </c>
      <c r="T42">
        <v>1</v>
      </c>
      <c r="U42" t="s">
        <v>40</v>
      </c>
      <c r="V42">
        <v>0</v>
      </c>
      <c r="W42">
        <v>1</v>
      </c>
      <c r="X42" t="s">
        <v>40</v>
      </c>
      <c r="Y42">
        <v>0</v>
      </c>
      <c r="Z42">
        <v>1</v>
      </c>
      <c r="AA42" t="s">
        <v>40</v>
      </c>
      <c r="AB42">
        <v>0</v>
      </c>
      <c r="AC42">
        <v>1</v>
      </c>
      <c r="AD42" t="s">
        <v>40</v>
      </c>
      <c r="AE42">
        <v>0</v>
      </c>
      <c r="AF42">
        <v>1</v>
      </c>
      <c r="AG42" t="s">
        <v>40</v>
      </c>
      <c r="AH42">
        <v>0</v>
      </c>
      <c r="AI42">
        <v>1</v>
      </c>
      <c r="AJ42">
        <v>0</v>
      </c>
      <c r="AK42" t="s">
        <v>40</v>
      </c>
      <c r="AL42">
        <v>0</v>
      </c>
      <c r="AM42">
        <v>1</v>
      </c>
      <c r="AN42" t="s">
        <v>98</v>
      </c>
      <c r="AO42" s="6">
        <f>N42</f>
        <v>1</v>
      </c>
      <c r="AP42" s="6">
        <f>O42</f>
        <v>3</v>
      </c>
      <c r="AQ42" t="s">
        <v>106</v>
      </c>
      <c r="AR42" s="6" t="str">
        <f>$O$6</f>
        <v>BXX</v>
      </c>
      <c r="AS42" t="s">
        <v>1</v>
      </c>
      <c r="AT42" s="6" t="str">
        <f>$A$3&amp;".AI_VI"</f>
        <v>BXX_DEV1_FI1.AI_VI</v>
      </c>
      <c r="AU42" t="s">
        <v>1</v>
      </c>
      <c r="AV42" s="6" t="str">
        <f>C42</f>
        <v>Sample Flow Number of Visible Eng Values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</row>
    <row r="43" spans="1:64" x14ac:dyDescent="0.25">
      <c r="A43" s="6" t="str">
        <f>$A$3&amp;"_"&amp;"AI_DC"</f>
        <v>BXX_DEV1_FI1_AI_DC</v>
      </c>
      <c r="B43" s="6" t="str">
        <f t="shared" si="7"/>
        <v>BXX_DEV1_FI1</v>
      </c>
      <c r="C43" s="6" t="str">
        <f>$C$3 &amp; " Precision"</f>
        <v>Sample Flow Precision</v>
      </c>
      <c r="D43" s="4">
        <f t="shared" si="8"/>
        <v>21</v>
      </c>
      <c r="E43" t="s">
        <v>1</v>
      </c>
      <c r="F43" t="s">
        <v>0</v>
      </c>
      <c r="G43" s="2">
        <v>700</v>
      </c>
      <c r="H43" t="s">
        <v>0</v>
      </c>
      <c r="I43" t="s">
        <v>1</v>
      </c>
      <c r="J43">
        <v>0</v>
      </c>
      <c r="K43">
        <v>0</v>
      </c>
      <c r="M43" s="6">
        <f t="shared" ref="M43:M45" si="9">N43</f>
        <v>0</v>
      </c>
      <c r="N43">
        <v>0</v>
      </c>
      <c r="O43">
        <v>3</v>
      </c>
      <c r="P43">
        <v>0</v>
      </c>
      <c r="Q43">
        <v>0</v>
      </c>
      <c r="R43" t="s">
        <v>40</v>
      </c>
      <c r="S43">
        <v>0</v>
      </c>
      <c r="T43">
        <v>1</v>
      </c>
      <c r="U43" t="s">
        <v>40</v>
      </c>
      <c r="V43">
        <v>0</v>
      </c>
      <c r="W43">
        <v>1</v>
      </c>
      <c r="X43" t="s">
        <v>40</v>
      </c>
      <c r="Y43">
        <v>0</v>
      </c>
      <c r="Z43">
        <v>1</v>
      </c>
      <c r="AA43" t="s">
        <v>40</v>
      </c>
      <c r="AB43">
        <v>0</v>
      </c>
      <c r="AC43">
        <v>1</v>
      </c>
      <c r="AD43" t="s">
        <v>40</v>
      </c>
      <c r="AE43">
        <v>0</v>
      </c>
      <c r="AF43">
        <v>1</v>
      </c>
      <c r="AG43" t="s">
        <v>40</v>
      </c>
      <c r="AH43">
        <v>0</v>
      </c>
      <c r="AI43">
        <v>1</v>
      </c>
      <c r="AJ43">
        <v>0</v>
      </c>
      <c r="AK43" t="s">
        <v>40</v>
      </c>
      <c r="AL43">
        <v>0</v>
      </c>
      <c r="AM43">
        <v>1</v>
      </c>
      <c r="AN43" t="s">
        <v>98</v>
      </c>
      <c r="AO43" s="6">
        <f t="shared" ref="AO43:AO45" si="10">N43</f>
        <v>0</v>
      </c>
      <c r="AP43" s="6">
        <f t="shared" ref="AP43:AP45" si="11">O43</f>
        <v>3</v>
      </c>
      <c r="AQ43" t="s">
        <v>106</v>
      </c>
      <c r="AR43" s="6" t="str">
        <f t="shared" ref="AR43:AR45" si="12">$O$6</f>
        <v>BXX</v>
      </c>
      <c r="AS43" t="s">
        <v>1</v>
      </c>
      <c r="AT43" s="6" t="str">
        <f>$A$3&amp;".AI_DC"</f>
        <v>BXX_DEV1_FI1.AI_DC</v>
      </c>
      <c r="AU43" t="s">
        <v>1</v>
      </c>
      <c r="AV43" s="6" t="str">
        <f t="shared" ref="AV43:AV45" si="13">C43</f>
        <v>Sample Flow Precision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</row>
    <row r="44" spans="1:64" x14ac:dyDescent="0.25">
      <c r="A44" s="3" t="str">
        <f>$A$3&amp;"_"&amp;"E2_DC"</f>
        <v>BXX_DEV1_FI1_E2_DC</v>
      </c>
      <c r="B44" s="6" t="str">
        <f t="shared" si="7"/>
        <v>BXX_DEV1_FI1</v>
      </c>
      <c r="C44" s="6" t="str">
        <f>$C$3 &amp; " Eng Value 2 Precision"</f>
        <v>Sample Flow Eng Value 2 Precision</v>
      </c>
      <c r="D44" s="4">
        <f t="shared" si="8"/>
        <v>33</v>
      </c>
      <c r="E44" t="s">
        <v>1</v>
      </c>
      <c r="F44" t="s">
        <v>0</v>
      </c>
      <c r="G44" s="2">
        <v>700</v>
      </c>
      <c r="H44" t="s">
        <v>0</v>
      </c>
      <c r="I44" t="s">
        <v>1</v>
      </c>
      <c r="J44">
        <v>0</v>
      </c>
      <c r="K44">
        <v>0</v>
      </c>
      <c r="M44" s="6">
        <f t="shared" si="9"/>
        <v>0</v>
      </c>
      <c r="N44">
        <v>0</v>
      </c>
      <c r="O44">
        <v>3</v>
      </c>
      <c r="P44">
        <v>0</v>
      </c>
      <c r="Q44">
        <v>0</v>
      </c>
      <c r="R44" t="s">
        <v>40</v>
      </c>
      <c r="S44">
        <v>0</v>
      </c>
      <c r="T44">
        <v>1</v>
      </c>
      <c r="U44" t="s">
        <v>40</v>
      </c>
      <c r="V44">
        <v>0</v>
      </c>
      <c r="W44">
        <v>1</v>
      </c>
      <c r="X44" t="s">
        <v>40</v>
      </c>
      <c r="Y44">
        <v>0</v>
      </c>
      <c r="Z44">
        <v>1</v>
      </c>
      <c r="AA44" t="s">
        <v>40</v>
      </c>
      <c r="AB44">
        <v>0</v>
      </c>
      <c r="AC44">
        <v>1</v>
      </c>
      <c r="AD44" t="s">
        <v>40</v>
      </c>
      <c r="AE44">
        <v>0</v>
      </c>
      <c r="AF44">
        <v>1</v>
      </c>
      <c r="AG44" t="s">
        <v>40</v>
      </c>
      <c r="AH44">
        <v>0</v>
      </c>
      <c r="AI44">
        <v>1</v>
      </c>
      <c r="AJ44">
        <v>0</v>
      </c>
      <c r="AK44" t="s">
        <v>40</v>
      </c>
      <c r="AL44">
        <v>0</v>
      </c>
      <c r="AM44">
        <v>1</v>
      </c>
      <c r="AN44" t="s">
        <v>98</v>
      </c>
      <c r="AO44" s="6">
        <f t="shared" si="10"/>
        <v>0</v>
      </c>
      <c r="AP44" s="6">
        <f t="shared" si="11"/>
        <v>3</v>
      </c>
      <c r="AQ44" t="s">
        <v>106</v>
      </c>
      <c r="AR44" s="6" t="str">
        <f t="shared" si="12"/>
        <v>BXX</v>
      </c>
      <c r="AS44" t="s">
        <v>1</v>
      </c>
      <c r="AT44" s="6" t="str">
        <f>$A$3&amp;".E2_DC"</f>
        <v>BXX_DEV1_FI1.E2_DC</v>
      </c>
      <c r="AU44" t="s">
        <v>1</v>
      </c>
      <c r="AV44" s="6" t="str">
        <f t="shared" si="13"/>
        <v>Sample Flow Eng Value 2 Precision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</row>
    <row r="45" spans="1:64" x14ac:dyDescent="0.25">
      <c r="A45" s="3" t="str">
        <f>$A$3&amp;"_"&amp;"E3_DC"</f>
        <v>BXX_DEV1_FI1_E3_DC</v>
      </c>
      <c r="B45" s="6" t="str">
        <f t="shared" si="7"/>
        <v>BXX_DEV1_FI1</v>
      </c>
      <c r="C45" s="6" t="str">
        <f>$C$3 &amp; " Eng Value 3 Precision"</f>
        <v>Sample Flow Eng Value 3 Precision</v>
      </c>
      <c r="D45" s="4">
        <f t="shared" si="8"/>
        <v>33</v>
      </c>
      <c r="E45" t="s">
        <v>1</v>
      </c>
      <c r="F45" t="s">
        <v>0</v>
      </c>
      <c r="G45" s="2">
        <v>700</v>
      </c>
      <c r="H45" t="s">
        <v>0</v>
      </c>
      <c r="I45" t="s">
        <v>1</v>
      </c>
      <c r="J45">
        <v>0</v>
      </c>
      <c r="K45">
        <v>0</v>
      </c>
      <c r="M45" s="6">
        <f t="shared" si="9"/>
        <v>0</v>
      </c>
      <c r="N45">
        <v>0</v>
      </c>
      <c r="O45">
        <v>3</v>
      </c>
      <c r="P45">
        <v>0</v>
      </c>
      <c r="Q45">
        <v>0</v>
      </c>
      <c r="R45" t="s">
        <v>40</v>
      </c>
      <c r="S45">
        <v>0</v>
      </c>
      <c r="T45">
        <v>1</v>
      </c>
      <c r="U45" t="s">
        <v>40</v>
      </c>
      <c r="V45">
        <v>0</v>
      </c>
      <c r="W45">
        <v>1</v>
      </c>
      <c r="X45" t="s">
        <v>40</v>
      </c>
      <c r="Y45">
        <v>0</v>
      </c>
      <c r="Z45">
        <v>1</v>
      </c>
      <c r="AA45" t="s">
        <v>40</v>
      </c>
      <c r="AB45">
        <v>0</v>
      </c>
      <c r="AC45">
        <v>1</v>
      </c>
      <c r="AD45" t="s">
        <v>40</v>
      </c>
      <c r="AE45">
        <v>0</v>
      </c>
      <c r="AF45">
        <v>1</v>
      </c>
      <c r="AG45" t="s">
        <v>40</v>
      </c>
      <c r="AH45">
        <v>0</v>
      </c>
      <c r="AI45">
        <v>1</v>
      </c>
      <c r="AJ45">
        <v>0</v>
      </c>
      <c r="AK45" t="s">
        <v>40</v>
      </c>
      <c r="AL45">
        <v>0</v>
      </c>
      <c r="AM45">
        <v>1</v>
      </c>
      <c r="AN45" t="s">
        <v>98</v>
      </c>
      <c r="AO45" s="6">
        <f t="shared" si="10"/>
        <v>0</v>
      </c>
      <c r="AP45" s="6">
        <f t="shared" si="11"/>
        <v>3</v>
      </c>
      <c r="AQ45" t="s">
        <v>106</v>
      </c>
      <c r="AR45" s="6" t="str">
        <f t="shared" si="12"/>
        <v>BXX</v>
      </c>
      <c r="AS45" t="s">
        <v>1</v>
      </c>
      <c r="AT45" s="6" t="str">
        <f>$A$3&amp;".E3_DC"</f>
        <v>BXX_DEV1_FI1.E3_DC</v>
      </c>
      <c r="AU45" t="s">
        <v>1</v>
      </c>
      <c r="AV45" s="6" t="str">
        <f t="shared" si="13"/>
        <v>Sample Flow Eng Value 3 Precision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</row>
    <row r="46" spans="1:64" x14ac:dyDescent="0.25">
      <c r="A46" t="s">
        <v>107</v>
      </c>
      <c r="B46" t="s">
        <v>4</v>
      </c>
      <c r="C46" t="s">
        <v>5</v>
      </c>
      <c r="E46" t="s">
        <v>30</v>
      </c>
      <c r="F46" t="s">
        <v>6</v>
      </c>
      <c r="G46" t="s">
        <v>7</v>
      </c>
      <c r="H46" t="s">
        <v>31</v>
      </c>
      <c r="I46" t="s">
        <v>66</v>
      </c>
      <c r="J46" t="s">
        <v>67</v>
      </c>
      <c r="K46" t="s">
        <v>68</v>
      </c>
      <c r="L46" t="s">
        <v>69</v>
      </c>
      <c r="M46" t="s">
        <v>70</v>
      </c>
      <c r="N46" t="s">
        <v>101</v>
      </c>
      <c r="O46" t="s">
        <v>102</v>
      </c>
      <c r="P46" t="s">
        <v>73</v>
      </c>
      <c r="Q46" t="s">
        <v>74</v>
      </c>
      <c r="R46" t="s">
        <v>75</v>
      </c>
      <c r="S46" t="s">
        <v>76</v>
      </c>
      <c r="T46" t="s">
        <v>77</v>
      </c>
      <c r="U46" t="s">
        <v>78</v>
      </c>
      <c r="V46" t="s">
        <v>79</v>
      </c>
      <c r="W46" t="s">
        <v>80</v>
      </c>
      <c r="X46" t="s">
        <v>81</v>
      </c>
      <c r="Y46" t="s">
        <v>82</v>
      </c>
      <c r="Z46" t="s">
        <v>83</v>
      </c>
      <c r="AA46" t="s">
        <v>84</v>
      </c>
      <c r="AB46" t="s">
        <v>85</v>
      </c>
      <c r="AC46" t="s">
        <v>86</v>
      </c>
      <c r="AD46" t="s">
        <v>87</v>
      </c>
      <c r="AE46" t="s">
        <v>88</v>
      </c>
      <c r="AF46" t="s">
        <v>89</v>
      </c>
      <c r="AG46" t="s">
        <v>90</v>
      </c>
      <c r="AH46" t="s">
        <v>91</v>
      </c>
      <c r="AI46" t="s">
        <v>92</v>
      </c>
      <c r="AJ46" t="s">
        <v>93</v>
      </c>
      <c r="AK46" t="s">
        <v>94</v>
      </c>
      <c r="AL46" t="s">
        <v>95</v>
      </c>
      <c r="AM46" t="s">
        <v>96</v>
      </c>
      <c r="AN46" t="s">
        <v>97</v>
      </c>
      <c r="AO46" t="s">
        <v>103</v>
      </c>
      <c r="AP46" t="s">
        <v>104</v>
      </c>
      <c r="AQ46" t="s">
        <v>105</v>
      </c>
      <c r="AR46" t="s">
        <v>45</v>
      </c>
      <c r="AS46" t="s">
        <v>46</v>
      </c>
      <c r="AT46" t="s">
        <v>47</v>
      </c>
      <c r="AU46" t="s">
        <v>48</v>
      </c>
      <c r="AV46" t="s">
        <v>37</v>
      </c>
      <c r="AW46" t="s">
        <v>38</v>
      </c>
      <c r="AX46" t="s">
        <v>8</v>
      </c>
      <c r="AY46" t="s">
        <v>9</v>
      </c>
      <c r="AZ46" t="s">
        <v>10</v>
      </c>
      <c r="BA46" t="s">
        <v>11</v>
      </c>
      <c r="BB46" t="s">
        <v>12</v>
      </c>
      <c r="BC46" t="s">
        <v>13</v>
      </c>
      <c r="BD46" t="s">
        <v>14</v>
      </c>
      <c r="BE46" t="s">
        <v>16</v>
      </c>
      <c r="BF46" t="s">
        <v>17</v>
      </c>
      <c r="BG46" t="s">
        <v>18</v>
      </c>
      <c r="BH46" t="s">
        <v>19</v>
      </c>
      <c r="BI46" t="s">
        <v>20</v>
      </c>
      <c r="BJ46" t="s">
        <v>21</v>
      </c>
      <c r="BK46" t="s">
        <v>22</v>
      </c>
      <c r="BL46" t="s">
        <v>39</v>
      </c>
    </row>
    <row r="47" spans="1:64" x14ac:dyDescent="0.25">
      <c r="A47" s="6" t="str">
        <f>$A$3&amp;"_"&amp;"SN_LL"</f>
        <v>BXX_DEV1_FI1_SN_LL</v>
      </c>
      <c r="B47" s="6" t="str">
        <f t="shared" ref="B47:C69" si="14">$A$3</f>
        <v>BXX_DEV1_FI1</v>
      </c>
      <c r="C47" s="6" t="str">
        <f>$C$3 &amp; " LOLO Alarm Delay"</f>
        <v>Sample Flow LOLO Alarm Delay</v>
      </c>
      <c r="D47" s="4">
        <f t="shared" ref="D47:D114" si="15">LEN(C47)</f>
        <v>28</v>
      </c>
      <c r="E47" t="s">
        <v>1</v>
      </c>
      <c r="F47" t="s">
        <v>0</v>
      </c>
      <c r="G47" s="2">
        <v>600</v>
      </c>
      <c r="H47" t="s">
        <v>0</v>
      </c>
      <c r="I47" t="s">
        <v>1</v>
      </c>
      <c r="J47">
        <v>0</v>
      </c>
      <c r="K47">
        <v>0</v>
      </c>
      <c r="L47" t="s">
        <v>109</v>
      </c>
      <c r="M47" s="6">
        <f>N47</f>
        <v>0</v>
      </c>
      <c r="N47">
        <v>0</v>
      </c>
      <c r="O47">
        <v>999</v>
      </c>
      <c r="P47">
        <v>0</v>
      </c>
      <c r="Q47">
        <v>0</v>
      </c>
      <c r="R47" t="s">
        <v>40</v>
      </c>
      <c r="S47">
        <v>0</v>
      </c>
      <c r="T47">
        <v>1</v>
      </c>
      <c r="U47" t="s">
        <v>40</v>
      </c>
      <c r="V47">
        <v>0</v>
      </c>
      <c r="W47">
        <v>1</v>
      </c>
      <c r="X47" t="s">
        <v>40</v>
      </c>
      <c r="Y47">
        <v>0</v>
      </c>
      <c r="Z47">
        <v>1</v>
      </c>
      <c r="AA47" t="s">
        <v>40</v>
      </c>
      <c r="AB47">
        <v>0</v>
      </c>
      <c r="AC47">
        <v>1</v>
      </c>
      <c r="AD47" t="s">
        <v>40</v>
      </c>
      <c r="AE47">
        <v>0</v>
      </c>
      <c r="AF47">
        <v>1</v>
      </c>
      <c r="AG47" t="s">
        <v>40</v>
      </c>
      <c r="AH47">
        <v>0</v>
      </c>
      <c r="AI47">
        <v>1</v>
      </c>
      <c r="AJ47">
        <v>0</v>
      </c>
      <c r="AK47" t="s">
        <v>40</v>
      </c>
      <c r="AL47">
        <v>0</v>
      </c>
      <c r="AM47">
        <v>1</v>
      </c>
      <c r="AN47" t="s">
        <v>98</v>
      </c>
      <c r="AO47" s="6">
        <f>N47</f>
        <v>0</v>
      </c>
      <c r="AP47" s="6">
        <f>O47</f>
        <v>999</v>
      </c>
      <c r="AQ47" t="s">
        <v>106</v>
      </c>
      <c r="AR47" s="6" t="str">
        <f>$O$6</f>
        <v>BXX</v>
      </c>
      <c r="AS47" t="s">
        <v>1</v>
      </c>
      <c r="AT47" s="6" t="str">
        <f>$A$3&amp;".SN_LL"</f>
        <v>BXX_DEV1_FI1.SN_LL</v>
      </c>
      <c r="AU47" t="s">
        <v>1</v>
      </c>
      <c r="AV47" s="6" t="str">
        <f>C47</f>
        <v>Sample Flow LOLO Alarm Delay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</row>
    <row r="48" spans="1:64" x14ac:dyDescent="0.25">
      <c r="A48" s="6" t="str">
        <f>$A$3&amp;"_"&amp;"SN_HI"</f>
        <v>BXX_DEV1_FI1_SN_HI</v>
      </c>
      <c r="B48" s="6" t="str">
        <f t="shared" si="14"/>
        <v>BXX_DEV1_FI1</v>
      </c>
      <c r="C48" s="6" t="str">
        <f>$C$3 &amp; " High Alarm Delay"</f>
        <v>Sample Flow High Alarm Delay</v>
      </c>
      <c r="D48" s="4">
        <f t="shared" si="15"/>
        <v>28</v>
      </c>
      <c r="E48" t="s">
        <v>1</v>
      </c>
      <c r="F48" t="s">
        <v>0</v>
      </c>
      <c r="G48" s="2">
        <v>600</v>
      </c>
      <c r="H48" t="s">
        <v>0</v>
      </c>
      <c r="I48" t="s">
        <v>1</v>
      </c>
      <c r="J48">
        <v>0</v>
      </c>
      <c r="K48">
        <v>0</v>
      </c>
      <c r="L48" t="s">
        <v>109</v>
      </c>
      <c r="M48" s="6">
        <f t="shared" ref="M48:M67" si="16">N48</f>
        <v>0</v>
      </c>
      <c r="N48">
        <v>0</v>
      </c>
      <c r="O48">
        <v>999</v>
      </c>
      <c r="P48">
        <v>0</v>
      </c>
      <c r="Q48">
        <v>0</v>
      </c>
      <c r="R48" t="s">
        <v>40</v>
      </c>
      <c r="S48">
        <v>0</v>
      </c>
      <c r="T48">
        <v>1</v>
      </c>
      <c r="U48" t="s">
        <v>40</v>
      </c>
      <c r="V48">
        <v>0</v>
      </c>
      <c r="W48">
        <v>1</v>
      </c>
      <c r="X48" t="s">
        <v>40</v>
      </c>
      <c r="Y48">
        <v>0</v>
      </c>
      <c r="Z48">
        <v>1</v>
      </c>
      <c r="AA48" t="s">
        <v>40</v>
      </c>
      <c r="AB48">
        <v>0</v>
      </c>
      <c r="AC48">
        <v>1</v>
      </c>
      <c r="AD48" t="s">
        <v>40</v>
      </c>
      <c r="AE48">
        <v>0</v>
      </c>
      <c r="AF48">
        <v>1</v>
      </c>
      <c r="AG48" t="s">
        <v>40</v>
      </c>
      <c r="AH48">
        <v>0</v>
      </c>
      <c r="AI48">
        <v>1</v>
      </c>
      <c r="AJ48">
        <v>0</v>
      </c>
      <c r="AK48" t="s">
        <v>40</v>
      </c>
      <c r="AL48">
        <v>0</v>
      </c>
      <c r="AM48">
        <v>1</v>
      </c>
      <c r="AN48" t="s">
        <v>98</v>
      </c>
      <c r="AO48" s="6">
        <f t="shared" ref="AO48:AO67" si="17">N48</f>
        <v>0</v>
      </c>
      <c r="AP48" s="6">
        <f t="shared" ref="AP48:AP67" si="18">O48</f>
        <v>999</v>
      </c>
      <c r="AQ48" t="s">
        <v>106</v>
      </c>
      <c r="AR48" s="6" t="str">
        <f t="shared" ref="AR48:AR67" si="19">$O$6</f>
        <v>BXX</v>
      </c>
      <c r="AS48" t="s">
        <v>1</v>
      </c>
      <c r="AT48" s="6" t="str">
        <f>$A$3&amp;".SN_HI"</f>
        <v>BXX_DEV1_FI1.SN_HI</v>
      </c>
      <c r="AU48" t="s">
        <v>1</v>
      </c>
      <c r="AV48" s="6" t="str">
        <f t="shared" ref="AV48:AV67" si="20">C48</f>
        <v>Sample Flow High Alarm Delay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</row>
    <row r="49" spans="1:56" x14ac:dyDescent="0.25">
      <c r="A49" s="6" t="str">
        <f>$A$3&amp;"_"&amp;"AI_CV"</f>
        <v>BXX_DEV1_FI1_AI_CV</v>
      </c>
      <c r="B49" s="6" t="str">
        <f t="shared" si="14"/>
        <v>BXX_DEV1_FI1</v>
      </c>
      <c r="C49" s="6" t="str">
        <f>$C$3 &amp; " Current Value"</f>
        <v>Sample Flow Current Value</v>
      </c>
      <c r="D49" s="4">
        <f t="shared" si="15"/>
        <v>25</v>
      </c>
      <c r="E49" t="s">
        <v>0</v>
      </c>
      <c r="F49" t="s">
        <v>1</v>
      </c>
      <c r="G49">
        <v>0</v>
      </c>
      <c r="H49" t="s">
        <v>0</v>
      </c>
      <c r="I49" t="s">
        <v>1</v>
      </c>
      <c r="J49">
        <v>0</v>
      </c>
      <c r="K49">
        <v>0</v>
      </c>
      <c r="L49" s="2" t="s">
        <v>110</v>
      </c>
      <c r="M49" s="6">
        <f t="shared" si="16"/>
        <v>0</v>
      </c>
      <c r="N49" s="2">
        <v>0</v>
      </c>
      <c r="O49" s="2">
        <v>150</v>
      </c>
      <c r="P49">
        <v>0</v>
      </c>
      <c r="Q49" s="6">
        <f>(O49-N49)*0.01</f>
        <v>1.5</v>
      </c>
      <c r="R49" t="s">
        <v>40</v>
      </c>
      <c r="S49">
        <v>0</v>
      </c>
      <c r="T49">
        <v>1</v>
      </c>
      <c r="U49" t="s">
        <v>40</v>
      </c>
      <c r="V49">
        <v>0</v>
      </c>
      <c r="W49">
        <v>1</v>
      </c>
      <c r="X49" t="s">
        <v>40</v>
      </c>
      <c r="Y49">
        <v>0</v>
      </c>
      <c r="Z49">
        <v>1</v>
      </c>
      <c r="AA49" t="s">
        <v>40</v>
      </c>
      <c r="AB49">
        <v>0</v>
      </c>
      <c r="AC49">
        <v>1</v>
      </c>
      <c r="AD49" t="s">
        <v>40</v>
      </c>
      <c r="AE49">
        <v>0</v>
      </c>
      <c r="AF49">
        <v>1</v>
      </c>
      <c r="AG49" t="s">
        <v>40</v>
      </c>
      <c r="AH49">
        <v>0</v>
      </c>
      <c r="AI49">
        <v>1</v>
      </c>
      <c r="AJ49">
        <v>0</v>
      </c>
      <c r="AK49" t="s">
        <v>40</v>
      </c>
      <c r="AL49">
        <v>0</v>
      </c>
      <c r="AM49">
        <v>1</v>
      </c>
      <c r="AN49" t="s">
        <v>98</v>
      </c>
      <c r="AO49" s="6">
        <f t="shared" si="17"/>
        <v>0</v>
      </c>
      <c r="AP49" s="6">
        <f t="shared" si="18"/>
        <v>150</v>
      </c>
      <c r="AQ49" t="s">
        <v>106</v>
      </c>
      <c r="AR49" s="6" t="str">
        <f t="shared" si="19"/>
        <v>BXX</v>
      </c>
      <c r="AS49" t="s">
        <v>1</v>
      </c>
      <c r="AT49" s="6" t="str">
        <f>$A$3&amp;".AI_CV"</f>
        <v>BXX_DEV1_FI1.AI_CV</v>
      </c>
      <c r="AU49" t="s">
        <v>1</v>
      </c>
      <c r="AV49" s="6" t="str">
        <f t="shared" si="20"/>
        <v>Sample Flow Current Value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</row>
    <row r="50" spans="1:56" s="1" customFormat="1" x14ac:dyDescent="0.25">
      <c r="A50" s="3" t="str">
        <f>$A$3&amp;"_"&amp;"AI_ND"</f>
        <v>BXX_DEV1_FI1_AI_ND</v>
      </c>
      <c r="B50" s="6" t="str">
        <f t="shared" si="14"/>
        <v>BXX_DEV1_FI1</v>
      </c>
      <c r="C50" s="6" t="str">
        <f>$C$3 &amp; " Min Value Today"</f>
        <v>Sample Flow Min Value Today</v>
      </c>
      <c r="D50" s="4">
        <f t="shared" si="15"/>
        <v>27</v>
      </c>
      <c r="E50" s="1" t="s">
        <v>0</v>
      </c>
      <c r="F50" s="1" t="s">
        <v>1</v>
      </c>
      <c r="G50" s="1">
        <v>0</v>
      </c>
      <c r="H50" s="1" t="s">
        <v>0</v>
      </c>
      <c r="I50" s="1" t="s">
        <v>1</v>
      </c>
      <c r="J50" s="1">
        <v>0</v>
      </c>
      <c r="K50" s="1">
        <v>0</v>
      </c>
      <c r="L50" s="6" t="str">
        <f>$L$49</f>
        <v>L/s</v>
      </c>
      <c r="M50" s="6">
        <f t="shared" si="16"/>
        <v>0</v>
      </c>
      <c r="N50" s="6">
        <f>$N$49</f>
        <v>0</v>
      </c>
      <c r="O50" s="6">
        <f>$O$49</f>
        <v>150</v>
      </c>
      <c r="P50" s="1">
        <v>0</v>
      </c>
      <c r="Q50" s="6">
        <f t="shared" ref="Q50:Q51" si="21">(O50-N50)*0.01</f>
        <v>1.5</v>
      </c>
      <c r="R50" s="1" t="s">
        <v>40</v>
      </c>
      <c r="S50" s="1">
        <v>0</v>
      </c>
      <c r="T50" s="1">
        <v>1</v>
      </c>
      <c r="U50" s="1" t="s">
        <v>40</v>
      </c>
      <c r="V50" s="1">
        <v>0</v>
      </c>
      <c r="W50" s="1">
        <v>1</v>
      </c>
      <c r="X50" s="1" t="s">
        <v>40</v>
      </c>
      <c r="Y50" s="1">
        <v>0</v>
      </c>
      <c r="Z50" s="1">
        <v>1</v>
      </c>
      <c r="AA50" s="1" t="s">
        <v>40</v>
      </c>
      <c r="AB50" s="1">
        <v>0</v>
      </c>
      <c r="AC50" s="1">
        <v>1</v>
      </c>
      <c r="AD50" s="1" t="s">
        <v>40</v>
      </c>
      <c r="AE50" s="1">
        <v>0</v>
      </c>
      <c r="AF50" s="1">
        <v>1</v>
      </c>
      <c r="AG50" s="1" t="s">
        <v>40</v>
      </c>
      <c r="AH50" s="1">
        <v>0</v>
      </c>
      <c r="AI50" s="1">
        <v>1</v>
      </c>
      <c r="AJ50" s="1">
        <v>0</v>
      </c>
      <c r="AK50" s="1" t="s">
        <v>40</v>
      </c>
      <c r="AL50" s="1">
        <v>0</v>
      </c>
      <c r="AM50" s="1">
        <v>1</v>
      </c>
      <c r="AN50" s="1" t="s">
        <v>98</v>
      </c>
      <c r="AO50" s="6">
        <f t="shared" si="17"/>
        <v>0</v>
      </c>
      <c r="AP50" s="6">
        <f t="shared" si="18"/>
        <v>150</v>
      </c>
      <c r="AQ50" s="1" t="s">
        <v>106</v>
      </c>
      <c r="AR50" s="6" t="str">
        <f t="shared" si="19"/>
        <v>BXX</v>
      </c>
      <c r="AS50" s="1" t="s">
        <v>1</v>
      </c>
      <c r="AT50" s="6" t="str">
        <f>$A$3&amp;".AI_ND"</f>
        <v>BXX_DEV1_FI1.AI_ND</v>
      </c>
      <c r="AU50" s="1" t="s">
        <v>1</v>
      </c>
      <c r="AV50" s="6" t="str">
        <f t="shared" si="20"/>
        <v>Sample Flow Min Value Today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</row>
    <row r="51" spans="1:56" s="1" customFormat="1" x14ac:dyDescent="0.25">
      <c r="A51" s="3" t="str">
        <f>$A$3&amp;"_"&amp;"AI_NP"</f>
        <v>BXX_DEV1_FI1_AI_NP</v>
      </c>
      <c r="B51" s="6" t="str">
        <f t="shared" si="14"/>
        <v>BXX_DEV1_FI1</v>
      </c>
      <c r="C51" s="6" t="str">
        <f>$C$3 &amp; " Max Value Today"</f>
        <v>Sample Flow Max Value Today</v>
      </c>
      <c r="D51" s="4">
        <f t="shared" si="15"/>
        <v>27</v>
      </c>
      <c r="E51" s="1" t="s">
        <v>0</v>
      </c>
      <c r="F51" s="1" t="s">
        <v>1</v>
      </c>
      <c r="G51" s="1">
        <v>0</v>
      </c>
      <c r="H51" s="1" t="s">
        <v>0</v>
      </c>
      <c r="I51" s="1" t="s">
        <v>1</v>
      </c>
      <c r="J51" s="1">
        <v>0</v>
      </c>
      <c r="K51" s="1">
        <v>0</v>
      </c>
      <c r="L51" s="6" t="str">
        <f t="shared" ref="L51:L53" si="22">$L$49</f>
        <v>L/s</v>
      </c>
      <c r="M51" s="6">
        <f t="shared" si="16"/>
        <v>0</v>
      </c>
      <c r="N51" s="6">
        <f t="shared" ref="N51:N53" si="23">$N$49</f>
        <v>0</v>
      </c>
      <c r="O51" s="6">
        <f t="shared" ref="O51:O53" si="24">$O$49</f>
        <v>150</v>
      </c>
      <c r="P51" s="1">
        <v>0</v>
      </c>
      <c r="Q51" s="6">
        <f t="shared" si="21"/>
        <v>1.5</v>
      </c>
      <c r="R51" s="1" t="s">
        <v>40</v>
      </c>
      <c r="S51" s="1">
        <v>0</v>
      </c>
      <c r="T51" s="1">
        <v>1</v>
      </c>
      <c r="U51" s="1" t="s">
        <v>40</v>
      </c>
      <c r="V51" s="1">
        <v>0</v>
      </c>
      <c r="W51" s="1">
        <v>1</v>
      </c>
      <c r="X51" s="1" t="s">
        <v>40</v>
      </c>
      <c r="Y51" s="1">
        <v>0</v>
      </c>
      <c r="Z51" s="1">
        <v>1</v>
      </c>
      <c r="AA51" s="1" t="s">
        <v>40</v>
      </c>
      <c r="AB51" s="1">
        <v>0</v>
      </c>
      <c r="AC51" s="1">
        <v>1</v>
      </c>
      <c r="AD51" s="1" t="s">
        <v>40</v>
      </c>
      <c r="AE51" s="1">
        <v>0</v>
      </c>
      <c r="AF51" s="1">
        <v>1</v>
      </c>
      <c r="AG51" s="1" t="s">
        <v>40</v>
      </c>
      <c r="AH51" s="1">
        <v>0</v>
      </c>
      <c r="AI51" s="1">
        <v>1</v>
      </c>
      <c r="AJ51" s="1">
        <v>0</v>
      </c>
      <c r="AK51" s="1" t="s">
        <v>40</v>
      </c>
      <c r="AL51" s="1">
        <v>0</v>
      </c>
      <c r="AM51" s="1">
        <v>1</v>
      </c>
      <c r="AN51" s="1" t="s">
        <v>98</v>
      </c>
      <c r="AO51" s="6">
        <f t="shared" si="17"/>
        <v>0</v>
      </c>
      <c r="AP51" s="6">
        <f t="shared" si="18"/>
        <v>150</v>
      </c>
      <c r="AQ51" s="1" t="s">
        <v>106</v>
      </c>
      <c r="AR51" s="6" t="str">
        <f t="shared" si="19"/>
        <v>BXX</v>
      </c>
      <c r="AS51" s="1" t="s">
        <v>1</v>
      </c>
      <c r="AT51" s="6" t="str">
        <f>$A$3&amp;".AI_NP"</f>
        <v>BXX_DEV1_FI1.AI_NP</v>
      </c>
      <c r="AU51" s="1" t="s">
        <v>1</v>
      </c>
      <c r="AV51" s="6" t="str">
        <f t="shared" si="20"/>
        <v>Sample Flow Max Value Today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</row>
    <row r="52" spans="1:56" s="1" customFormat="1" x14ac:dyDescent="0.25">
      <c r="A52" s="3" t="str">
        <f>$A$3&amp;"_"&amp;"AI_XD"</f>
        <v>BXX_DEV1_FI1_AI_XD</v>
      </c>
      <c r="B52" s="6" t="str">
        <f t="shared" si="14"/>
        <v>BXX_DEV1_FI1</v>
      </c>
      <c r="C52" s="6" t="str">
        <f>$C$3 &amp; " Min Value Yesterday"</f>
        <v>Sample Flow Min Value Yesterday</v>
      </c>
      <c r="D52" s="4">
        <f t="shared" si="15"/>
        <v>31</v>
      </c>
      <c r="E52" s="1" t="s">
        <v>1</v>
      </c>
      <c r="F52" s="1" t="s">
        <v>1</v>
      </c>
      <c r="G52" s="1">
        <v>0</v>
      </c>
      <c r="H52" s="1" t="s">
        <v>0</v>
      </c>
      <c r="I52" s="1" t="s">
        <v>1</v>
      </c>
      <c r="J52" s="1">
        <v>0</v>
      </c>
      <c r="K52" s="1">
        <v>0</v>
      </c>
      <c r="L52" s="6" t="str">
        <f t="shared" si="22"/>
        <v>L/s</v>
      </c>
      <c r="M52" s="6">
        <f t="shared" si="16"/>
        <v>0</v>
      </c>
      <c r="N52" s="6">
        <f t="shared" si="23"/>
        <v>0</v>
      </c>
      <c r="O52" s="6">
        <f t="shared" si="24"/>
        <v>150</v>
      </c>
      <c r="P52" s="1">
        <v>0</v>
      </c>
      <c r="Q52" s="1">
        <v>0</v>
      </c>
      <c r="R52" s="1" t="s">
        <v>40</v>
      </c>
      <c r="S52" s="1">
        <v>0</v>
      </c>
      <c r="T52" s="1">
        <v>1</v>
      </c>
      <c r="U52" s="1" t="s">
        <v>40</v>
      </c>
      <c r="V52" s="1">
        <v>0</v>
      </c>
      <c r="W52" s="1">
        <v>1</v>
      </c>
      <c r="X52" s="1" t="s">
        <v>40</v>
      </c>
      <c r="Y52" s="1">
        <v>0</v>
      </c>
      <c r="Z52" s="1">
        <v>1</v>
      </c>
      <c r="AA52" s="1" t="s">
        <v>40</v>
      </c>
      <c r="AB52" s="1">
        <v>0</v>
      </c>
      <c r="AC52" s="1">
        <v>1</v>
      </c>
      <c r="AD52" s="1" t="s">
        <v>40</v>
      </c>
      <c r="AE52" s="1">
        <v>0</v>
      </c>
      <c r="AF52" s="1">
        <v>1</v>
      </c>
      <c r="AG52" s="1" t="s">
        <v>40</v>
      </c>
      <c r="AH52" s="1">
        <v>0</v>
      </c>
      <c r="AI52" s="1">
        <v>1</v>
      </c>
      <c r="AJ52" s="1">
        <v>0</v>
      </c>
      <c r="AK52" s="1" t="s">
        <v>40</v>
      </c>
      <c r="AL52" s="1">
        <v>0</v>
      </c>
      <c r="AM52" s="1">
        <v>1</v>
      </c>
      <c r="AN52" s="1" t="s">
        <v>98</v>
      </c>
      <c r="AO52" s="6">
        <f t="shared" si="17"/>
        <v>0</v>
      </c>
      <c r="AP52" s="6">
        <f t="shared" si="18"/>
        <v>150</v>
      </c>
      <c r="AQ52" s="1" t="s">
        <v>106</v>
      </c>
      <c r="AR52" s="6" t="str">
        <f t="shared" si="19"/>
        <v>BXX</v>
      </c>
      <c r="AS52" s="1" t="s">
        <v>1</v>
      </c>
      <c r="AT52" s="6" t="str">
        <f>$A$3&amp;".AI_XD"</f>
        <v>BXX_DEV1_FI1.AI_XD</v>
      </c>
      <c r="AU52" s="1" t="s">
        <v>1</v>
      </c>
      <c r="AV52" s="6" t="str">
        <f t="shared" si="20"/>
        <v>Sample Flow Min Value Yesterday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</row>
    <row r="53" spans="1:56" s="1" customFormat="1" x14ac:dyDescent="0.25">
      <c r="A53" s="3" t="str">
        <f>$A$3&amp;"_"&amp;"AI_XP"</f>
        <v>BXX_DEV1_FI1_AI_XP</v>
      </c>
      <c r="B53" s="6" t="str">
        <f t="shared" si="14"/>
        <v>BXX_DEV1_FI1</v>
      </c>
      <c r="C53" s="6" t="str">
        <f>$C$3 &amp; " Max Value Yesterday"</f>
        <v>Sample Flow Max Value Yesterday</v>
      </c>
      <c r="D53" s="4">
        <f t="shared" si="15"/>
        <v>31</v>
      </c>
      <c r="E53" s="1" t="s">
        <v>1</v>
      </c>
      <c r="F53" s="1" t="s">
        <v>1</v>
      </c>
      <c r="G53" s="1">
        <v>0</v>
      </c>
      <c r="H53" s="1" t="s">
        <v>0</v>
      </c>
      <c r="I53" s="1" t="s">
        <v>1</v>
      </c>
      <c r="J53" s="1">
        <v>0</v>
      </c>
      <c r="K53" s="1">
        <v>0</v>
      </c>
      <c r="L53" s="6" t="str">
        <f t="shared" si="22"/>
        <v>L/s</v>
      </c>
      <c r="M53" s="6">
        <f t="shared" si="16"/>
        <v>0</v>
      </c>
      <c r="N53" s="6">
        <f t="shared" si="23"/>
        <v>0</v>
      </c>
      <c r="O53" s="6">
        <f t="shared" si="24"/>
        <v>150</v>
      </c>
      <c r="P53" s="1">
        <v>0</v>
      </c>
      <c r="Q53" s="1">
        <v>0</v>
      </c>
      <c r="R53" s="1" t="s">
        <v>40</v>
      </c>
      <c r="S53" s="1">
        <v>0</v>
      </c>
      <c r="T53" s="1">
        <v>1</v>
      </c>
      <c r="U53" s="1" t="s">
        <v>40</v>
      </c>
      <c r="V53" s="1">
        <v>0</v>
      </c>
      <c r="W53" s="1">
        <v>1</v>
      </c>
      <c r="X53" s="1" t="s">
        <v>40</v>
      </c>
      <c r="Y53" s="1">
        <v>0</v>
      </c>
      <c r="Z53" s="1">
        <v>1</v>
      </c>
      <c r="AA53" s="1" t="s">
        <v>40</v>
      </c>
      <c r="AB53" s="1">
        <v>0</v>
      </c>
      <c r="AC53" s="1">
        <v>1</v>
      </c>
      <c r="AD53" s="1" t="s">
        <v>40</v>
      </c>
      <c r="AE53" s="1">
        <v>0</v>
      </c>
      <c r="AF53" s="1">
        <v>1</v>
      </c>
      <c r="AG53" s="1" t="s">
        <v>40</v>
      </c>
      <c r="AH53" s="1">
        <v>0</v>
      </c>
      <c r="AI53" s="1">
        <v>1</v>
      </c>
      <c r="AJ53" s="1">
        <v>0</v>
      </c>
      <c r="AK53" s="1" t="s">
        <v>40</v>
      </c>
      <c r="AL53" s="1">
        <v>0</v>
      </c>
      <c r="AM53" s="1">
        <v>1</v>
      </c>
      <c r="AN53" s="1" t="s">
        <v>98</v>
      </c>
      <c r="AO53" s="6">
        <f t="shared" si="17"/>
        <v>0</v>
      </c>
      <c r="AP53" s="6">
        <f t="shared" si="18"/>
        <v>150</v>
      </c>
      <c r="AQ53" s="1" t="s">
        <v>106</v>
      </c>
      <c r="AR53" s="6" t="str">
        <f t="shared" si="19"/>
        <v>BXX</v>
      </c>
      <c r="AS53" s="1" t="s">
        <v>1</v>
      </c>
      <c r="AT53" s="6" t="str">
        <f>$A$3&amp;".AI_XP"</f>
        <v>BXX_DEV1_FI1.AI_XP</v>
      </c>
      <c r="AU53" s="1" t="s">
        <v>1</v>
      </c>
      <c r="AV53" s="6" t="str">
        <f t="shared" si="20"/>
        <v>Sample Flow Max Value Yesterday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</row>
    <row r="54" spans="1:56" s="1" customFormat="1" x14ac:dyDescent="0.25">
      <c r="A54" s="3" t="str">
        <f>$A$3&amp;"_"&amp;"AI_TD"</f>
        <v>BXX_DEV1_FI1_AI_TD</v>
      </c>
      <c r="B54" s="6" t="str">
        <f t="shared" si="14"/>
        <v>BXX_DEV1_FI1</v>
      </c>
      <c r="C54" s="6" t="str">
        <f>$C$3 &amp; " Total Today"</f>
        <v>Sample Flow Total Today</v>
      </c>
      <c r="D54" s="4">
        <f t="shared" si="15"/>
        <v>23</v>
      </c>
      <c r="E54" s="1" t="s">
        <v>0</v>
      </c>
      <c r="F54" s="1" t="s">
        <v>1</v>
      </c>
      <c r="G54" s="1">
        <v>0</v>
      </c>
      <c r="H54" s="1" t="s">
        <v>0</v>
      </c>
      <c r="I54" s="1" t="s">
        <v>1</v>
      </c>
      <c r="J54" s="1">
        <v>0</v>
      </c>
      <c r="K54" s="1">
        <v>0</v>
      </c>
      <c r="L54" s="2" t="s">
        <v>118</v>
      </c>
      <c r="M54" s="6">
        <f t="shared" si="16"/>
        <v>0</v>
      </c>
      <c r="N54" s="2">
        <v>0</v>
      </c>
      <c r="O54" s="2">
        <v>20000</v>
      </c>
      <c r="P54" s="1">
        <v>0</v>
      </c>
      <c r="Q54" s="1">
        <v>1</v>
      </c>
      <c r="R54" s="1" t="s">
        <v>40</v>
      </c>
      <c r="S54" s="1">
        <v>0</v>
      </c>
      <c r="T54" s="1">
        <v>1</v>
      </c>
      <c r="U54" s="1" t="s">
        <v>40</v>
      </c>
      <c r="V54" s="1">
        <v>0</v>
      </c>
      <c r="W54" s="1">
        <v>1</v>
      </c>
      <c r="X54" s="1" t="s">
        <v>40</v>
      </c>
      <c r="Y54" s="1">
        <v>0</v>
      </c>
      <c r="Z54" s="1">
        <v>1</v>
      </c>
      <c r="AA54" s="1" t="s">
        <v>40</v>
      </c>
      <c r="AB54" s="1">
        <v>0</v>
      </c>
      <c r="AC54" s="1">
        <v>1</v>
      </c>
      <c r="AD54" s="1" t="s">
        <v>40</v>
      </c>
      <c r="AE54" s="1">
        <v>0</v>
      </c>
      <c r="AF54" s="1">
        <v>1</v>
      </c>
      <c r="AG54" s="1" t="s">
        <v>40</v>
      </c>
      <c r="AH54" s="1">
        <v>0</v>
      </c>
      <c r="AI54" s="1">
        <v>1</v>
      </c>
      <c r="AJ54" s="1">
        <v>0</v>
      </c>
      <c r="AK54" s="1" t="s">
        <v>40</v>
      </c>
      <c r="AL54" s="1">
        <v>0</v>
      </c>
      <c r="AM54" s="1">
        <v>1</v>
      </c>
      <c r="AN54" s="1" t="s">
        <v>98</v>
      </c>
      <c r="AO54" s="6">
        <f t="shared" si="17"/>
        <v>0</v>
      </c>
      <c r="AP54" s="6">
        <f t="shared" si="18"/>
        <v>20000</v>
      </c>
      <c r="AQ54" s="1" t="s">
        <v>106</v>
      </c>
      <c r="AR54" s="6" t="str">
        <f t="shared" si="19"/>
        <v>BXX</v>
      </c>
      <c r="AS54" s="1" t="s">
        <v>1</v>
      </c>
      <c r="AT54" s="6" t="str">
        <f>$A$3&amp;".AI_TD"</f>
        <v>BXX_DEV1_FI1.AI_TD</v>
      </c>
      <c r="AU54" s="1" t="s">
        <v>1</v>
      </c>
      <c r="AV54" s="6" t="str">
        <f t="shared" si="20"/>
        <v>Sample Flow Total Today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</row>
    <row r="55" spans="1:56" s="1" customFormat="1" x14ac:dyDescent="0.25">
      <c r="A55" s="3" t="str">
        <f>$A$3&amp;"_"&amp;"AI_YT"</f>
        <v>BXX_DEV1_FI1_AI_YT</v>
      </c>
      <c r="B55" s="6" t="str">
        <f t="shared" si="14"/>
        <v>BXX_DEV1_FI1</v>
      </c>
      <c r="C55" s="6" t="str">
        <f>$C$3 &amp; " Total Yesterday"</f>
        <v>Sample Flow Total Yesterday</v>
      </c>
      <c r="D55" s="4">
        <f t="shared" si="15"/>
        <v>27</v>
      </c>
      <c r="E55" s="1" t="s">
        <v>0</v>
      </c>
      <c r="F55" s="1" t="s">
        <v>1</v>
      </c>
      <c r="G55" s="1">
        <v>0</v>
      </c>
      <c r="H55" s="1" t="s">
        <v>0</v>
      </c>
      <c r="I55" s="1" t="s">
        <v>1</v>
      </c>
      <c r="J55" s="1">
        <v>0</v>
      </c>
      <c r="K55" s="1">
        <v>0</v>
      </c>
      <c r="L55" s="6" t="str">
        <f>L54</f>
        <v>L</v>
      </c>
      <c r="M55" s="6">
        <f t="shared" si="16"/>
        <v>0</v>
      </c>
      <c r="N55" s="6">
        <f>$N$54</f>
        <v>0</v>
      </c>
      <c r="O55" s="6">
        <f>$O$54</f>
        <v>20000</v>
      </c>
      <c r="P55" s="1">
        <v>0</v>
      </c>
      <c r="Q55" s="1">
        <v>1</v>
      </c>
      <c r="R55" s="1" t="s">
        <v>40</v>
      </c>
      <c r="S55" s="1">
        <v>0</v>
      </c>
      <c r="T55" s="1">
        <v>1</v>
      </c>
      <c r="U55" s="1" t="s">
        <v>40</v>
      </c>
      <c r="V55" s="1">
        <v>0</v>
      </c>
      <c r="W55" s="1">
        <v>1</v>
      </c>
      <c r="X55" s="1" t="s">
        <v>40</v>
      </c>
      <c r="Y55" s="1">
        <v>0</v>
      </c>
      <c r="Z55" s="1">
        <v>1</v>
      </c>
      <c r="AA55" s="1" t="s">
        <v>40</v>
      </c>
      <c r="AB55" s="1">
        <v>0</v>
      </c>
      <c r="AC55" s="1">
        <v>1</v>
      </c>
      <c r="AD55" s="1" t="s">
        <v>40</v>
      </c>
      <c r="AE55" s="1">
        <v>0</v>
      </c>
      <c r="AF55" s="1">
        <v>1</v>
      </c>
      <c r="AG55" s="1" t="s">
        <v>40</v>
      </c>
      <c r="AH55" s="1">
        <v>0</v>
      </c>
      <c r="AI55" s="1">
        <v>1</v>
      </c>
      <c r="AJ55" s="1">
        <v>0</v>
      </c>
      <c r="AK55" s="1" t="s">
        <v>40</v>
      </c>
      <c r="AL55" s="1">
        <v>0</v>
      </c>
      <c r="AM55" s="1">
        <v>1</v>
      </c>
      <c r="AN55" s="1" t="s">
        <v>98</v>
      </c>
      <c r="AO55" s="6">
        <f t="shared" si="17"/>
        <v>0</v>
      </c>
      <c r="AP55" s="6">
        <f t="shared" si="18"/>
        <v>20000</v>
      </c>
      <c r="AQ55" s="1" t="s">
        <v>106</v>
      </c>
      <c r="AR55" s="6" t="str">
        <f t="shared" si="19"/>
        <v>BXX</v>
      </c>
      <c r="AS55" s="1" t="s">
        <v>1</v>
      </c>
      <c r="AT55" s="6" t="str">
        <f>$A$3&amp;".AI_YT"</f>
        <v>BXX_DEV1_FI1.AI_YT</v>
      </c>
      <c r="AU55" s="1" t="s">
        <v>1</v>
      </c>
      <c r="AV55" s="6" t="str">
        <f t="shared" si="20"/>
        <v>Sample Flow Total Yesterday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</row>
    <row r="56" spans="1:56" s="1" customFormat="1" x14ac:dyDescent="0.25">
      <c r="A56" s="3" t="str">
        <f>$A$3&amp;"_"&amp;"AI_AT"</f>
        <v>BXX_DEV1_FI1_AI_AT</v>
      </c>
      <c r="B56" s="6" t="str">
        <f t="shared" si="14"/>
        <v>BXX_DEV1_FI1</v>
      </c>
      <c r="C56" s="6" t="str">
        <f>$C$3 &amp; " Average"</f>
        <v>Sample Flow Average</v>
      </c>
      <c r="D56" s="4">
        <f t="shared" si="15"/>
        <v>19</v>
      </c>
      <c r="E56" s="1" t="s">
        <v>1</v>
      </c>
      <c r="F56" s="1" t="s">
        <v>1</v>
      </c>
      <c r="G56" s="1">
        <v>0</v>
      </c>
      <c r="H56" s="1" t="s">
        <v>0</v>
      </c>
      <c r="I56" s="1" t="s">
        <v>1</v>
      </c>
      <c r="J56" s="1">
        <v>0</v>
      </c>
      <c r="K56" s="1">
        <v>0</v>
      </c>
      <c r="L56" s="6" t="str">
        <f t="shared" ref="L56:L63" si="25">$L$49</f>
        <v>L/s</v>
      </c>
      <c r="M56" s="6">
        <f t="shared" si="16"/>
        <v>0</v>
      </c>
      <c r="N56" s="6">
        <f t="shared" ref="N56:N63" si="26">$N$49</f>
        <v>0</v>
      </c>
      <c r="O56" s="6">
        <f t="shared" ref="O56:O63" si="27">$O$49</f>
        <v>150</v>
      </c>
      <c r="P56" s="1">
        <v>0</v>
      </c>
      <c r="Q56" s="1">
        <v>0</v>
      </c>
      <c r="R56" s="1" t="s">
        <v>40</v>
      </c>
      <c r="S56" s="1">
        <v>0</v>
      </c>
      <c r="T56" s="1">
        <v>1</v>
      </c>
      <c r="U56" s="1" t="s">
        <v>40</v>
      </c>
      <c r="V56" s="1">
        <v>0</v>
      </c>
      <c r="W56" s="1">
        <v>1</v>
      </c>
      <c r="X56" s="1" t="s">
        <v>40</v>
      </c>
      <c r="Y56" s="1">
        <v>0</v>
      </c>
      <c r="Z56" s="1">
        <v>1</v>
      </c>
      <c r="AA56" s="1" t="s">
        <v>40</v>
      </c>
      <c r="AB56" s="1">
        <v>0</v>
      </c>
      <c r="AC56" s="1">
        <v>1</v>
      </c>
      <c r="AD56" s="1" t="s">
        <v>40</v>
      </c>
      <c r="AE56" s="1">
        <v>0</v>
      </c>
      <c r="AF56" s="1">
        <v>1</v>
      </c>
      <c r="AG56" s="1" t="s">
        <v>40</v>
      </c>
      <c r="AH56" s="1">
        <v>0</v>
      </c>
      <c r="AI56" s="1">
        <v>1</v>
      </c>
      <c r="AJ56" s="1">
        <v>0</v>
      </c>
      <c r="AK56" s="1" t="s">
        <v>40</v>
      </c>
      <c r="AL56" s="1">
        <v>0</v>
      </c>
      <c r="AM56" s="1">
        <v>1</v>
      </c>
      <c r="AN56" s="1" t="s">
        <v>98</v>
      </c>
      <c r="AO56" s="6">
        <f t="shared" si="17"/>
        <v>0</v>
      </c>
      <c r="AP56" s="6">
        <f t="shared" si="18"/>
        <v>150</v>
      </c>
      <c r="AQ56" s="1" t="s">
        <v>106</v>
      </c>
      <c r="AR56" s="6" t="str">
        <f t="shared" si="19"/>
        <v>BXX</v>
      </c>
      <c r="AS56" s="1" t="s">
        <v>1</v>
      </c>
      <c r="AT56" s="6" t="str">
        <f>$A$3&amp;".AI_AT"</f>
        <v>BXX_DEV1_FI1.AI_AT</v>
      </c>
      <c r="AU56" s="1" t="s">
        <v>1</v>
      </c>
      <c r="AV56" s="6" t="str">
        <f t="shared" si="20"/>
        <v>Sample Flow Average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</row>
    <row r="57" spans="1:56" x14ac:dyDescent="0.25">
      <c r="A57" s="6" t="str">
        <f>$A$3&amp;"_"&amp;"AO_XM"</f>
        <v>BXX_DEV1_FI1_AO_XM</v>
      </c>
      <c r="B57" s="6" t="str">
        <f t="shared" si="14"/>
        <v>BXX_DEV1_FI1</v>
      </c>
      <c r="C57" s="6" t="str">
        <f>$C$3 &amp; " Span Setpoint"</f>
        <v>Sample Flow Span Setpoint</v>
      </c>
      <c r="D57" s="4">
        <f t="shared" si="15"/>
        <v>25</v>
      </c>
      <c r="E57" t="s">
        <v>1</v>
      </c>
      <c r="F57" t="s">
        <v>0</v>
      </c>
      <c r="G57" s="2">
        <v>900</v>
      </c>
      <c r="H57" t="s">
        <v>0</v>
      </c>
      <c r="I57" t="s">
        <v>1</v>
      </c>
      <c r="J57">
        <v>0</v>
      </c>
      <c r="K57">
        <v>0</v>
      </c>
      <c r="L57" s="6" t="str">
        <f t="shared" si="25"/>
        <v>L/s</v>
      </c>
      <c r="M57" s="6">
        <f t="shared" si="16"/>
        <v>0</v>
      </c>
      <c r="N57" s="6">
        <f t="shared" si="26"/>
        <v>0</v>
      </c>
      <c r="O57" s="6">
        <f t="shared" si="27"/>
        <v>150</v>
      </c>
      <c r="P57">
        <v>0</v>
      </c>
      <c r="Q57">
        <v>0</v>
      </c>
      <c r="R57" t="s">
        <v>40</v>
      </c>
      <c r="S57">
        <v>0</v>
      </c>
      <c r="T57">
        <v>1</v>
      </c>
      <c r="U57" t="s">
        <v>40</v>
      </c>
      <c r="V57">
        <v>0</v>
      </c>
      <c r="W57">
        <v>1</v>
      </c>
      <c r="X57" t="s">
        <v>40</v>
      </c>
      <c r="Y57">
        <v>0</v>
      </c>
      <c r="Z57">
        <v>1</v>
      </c>
      <c r="AA57" t="s">
        <v>40</v>
      </c>
      <c r="AB57">
        <v>0</v>
      </c>
      <c r="AC57">
        <v>1</v>
      </c>
      <c r="AD57" t="s">
        <v>40</v>
      </c>
      <c r="AE57">
        <v>0</v>
      </c>
      <c r="AF57">
        <v>1</v>
      </c>
      <c r="AG57" t="s">
        <v>40</v>
      </c>
      <c r="AH57">
        <v>0</v>
      </c>
      <c r="AI57">
        <v>1</v>
      </c>
      <c r="AJ57">
        <v>0</v>
      </c>
      <c r="AK57" t="s">
        <v>40</v>
      </c>
      <c r="AL57">
        <v>0</v>
      </c>
      <c r="AM57">
        <v>1</v>
      </c>
      <c r="AN57" t="s">
        <v>98</v>
      </c>
      <c r="AO57" s="6">
        <f t="shared" si="17"/>
        <v>0</v>
      </c>
      <c r="AP57" s="6">
        <f t="shared" si="18"/>
        <v>150</v>
      </c>
      <c r="AQ57" t="s">
        <v>106</v>
      </c>
      <c r="AR57" s="6" t="str">
        <f t="shared" si="19"/>
        <v>BXX</v>
      </c>
      <c r="AS57" t="s">
        <v>1</v>
      </c>
      <c r="AT57" s="6" t="str">
        <f>$A$3&amp;".AO_XM"</f>
        <v>BXX_DEV1_FI1.AO_XM</v>
      </c>
      <c r="AU57" t="s">
        <v>1</v>
      </c>
      <c r="AV57" s="6" t="str">
        <f t="shared" si="20"/>
        <v>Sample Flow Span Setpoint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</row>
    <row r="58" spans="1:56" x14ac:dyDescent="0.25">
      <c r="A58" s="6" t="str">
        <f>$A$3&amp;"_"&amp;"AO_LO"</f>
        <v>BXX_DEV1_FI1_AO_LO</v>
      </c>
      <c r="B58" s="6" t="str">
        <f t="shared" si="14"/>
        <v>BXX_DEV1_FI1</v>
      </c>
      <c r="C58" s="6" t="str">
        <f>$C$3 &amp; " Low Setpoint"</f>
        <v>Sample Flow Low Setpoint</v>
      </c>
      <c r="D58" s="4">
        <f t="shared" si="15"/>
        <v>24</v>
      </c>
      <c r="E58" t="s">
        <v>1</v>
      </c>
      <c r="F58" t="s">
        <v>0</v>
      </c>
      <c r="G58" s="2">
        <v>600</v>
      </c>
      <c r="H58" t="s">
        <v>0</v>
      </c>
      <c r="I58" t="s">
        <v>1</v>
      </c>
      <c r="J58">
        <v>0</v>
      </c>
      <c r="K58">
        <v>0</v>
      </c>
      <c r="L58" s="6" t="str">
        <f t="shared" si="25"/>
        <v>L/s</v>
      </c>
      <c r="M58" s="6">
        <f t="shared" si="16"/>
        <v>0</v>
      </c>
      <c r="N58" s="6">
        <f t="shared" si="26"/>
        <v>0</v>
      </c>
      <c r="O58" s="6">
        <f t="shared" si="27"/>
        <v>150</v>
      </c>
      <c r="P58">
        <v>0</v>
      </c>
      <c r="Q58">
        <v>0</v>
      </c>
      <c r="R58" t="s">
        <v>40</v>
      </c>
      <c r="S58">
        <v>0</v>
      </c>
      <c r="T58">
        <v>1</v>
      </c>
      <c r="U58" t="s">
        <v>40</v>
      </c>
      <c r="V58">
        <v>0</v>
      </c>
      <c r="W58">
        <v>1</v>
      </c>
      <c r="X58" t="s">
        <v>40</v>
      </c>
      <c r="Y58">
        <v>0</v>
      </c>
      <c r="Z58">
        <v>1</v>
      </c>
      <c r="AA58" t="s">
        <v>40</v>
      </c>
      <c r="AB58">
        <v>0</v>
      </c>
      <c r="AC58">
        <v>1</v>
      </c>
      <c r="AD58" t="s">
        <v>40</v>
      </c>
      <c r="AE58">
        <v>0</v>
      </c>
      <c r="AF58">
        <v>1</v>
      </c>
      <c r="AG58" t="s">
        <v>40</v>
      </c>
      <c r="AH58">
        <v>0</v>
      </c>
      <c r="AI58">
        <v>1</v>
      </c>
      <c r="AJ58">
        <v>0</v>
      </c>
      <c r="AK58" t="s">
        <v>40</v>
      </c>
      <c r="AL58">
        <v>0</v>
      </c>
      <c r="AM58">
        <v>1</v>
      </c>
      <c r="AN58" t="s">
        <v>98</v>
      </c>
      <c r="AO58" s="6">
        <f t="shared" si="17"/>
        <v>0</v>
      </c>
      <c r="AP58" s="6">
        <f t="shared" si="18"/>
        <v>150</v>
      </c>
      <c r="AQ58" t="s">
        <v>106</v>
      </c>
      <c r="AR58" s="6" t="str">
        <f t="shared" si="19"/>
        <v>BXX</v>
      </c>
      <c r="AS58" t="s">
        <v>1</v>
      </c>
      <c r="AT58" s="6" t="str">
        <f>$A$3&amp;".AO_LO"</f>
        <v>BXX_DEV1_FI1.AO_LO</v>
      </c>
      <c r="AU58" t="s">
        <v>1</v>
      </c>
      <c r="AV58" s="6" t="str">
        <f t="shared" si="20"/>
        <v>Sample Flow Low Setpoint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</row>
    <row r="59" spans="1:56" x14ac:dyDescent="0.25">
      <c r="A59" s="6" t="str">
        <f>$A$3&amp;"_"&amp;"AO_HH"</f>
        <v>BXX_DEV1_FI1_AO_HH</v>
      </c>
      <c r="B59" s="6" t="str">
        <f t="shared" si="14"/>
        <v>BXX_DEV1_FI1</v>
      </c>
      <c r="C59" s="6" t="str">
        <f>$C$3 &amp; " HIHI Setpoint"</f>
        <v>Sample Flow HIHI Setpoint</v>
      </c>
      <c r="D59" s="4">
        <f t="shared" si="15"/>
        <v>25</v>
      </c>
      <c r="E59" t="s">
        <v>1</v>
      </c>
      <c r="F59" t="s">
        <v>0</v>
      </c>
      <c r="G59" s="2">
        <v>600</v>
      </c>
      <c r="H59" t="s">
        <v>0</v>
      </c>
      <c r="I59" t="s">
        <v>1</v>
      </c>
      <c r="J59">
        <v>0</v>
      </c>
      <c r="K59">
        <v>0</v>
      </c>
      <c r="L59" s="6" t="str">
        <f t="shared" si="25"/>
        <v>L/s</v>
      </c>
      <c r="M59" s="6">
        <f t="shared" si="16"/>
        <v>0</v>
      </c>
      <c r="N59" s="6">
        <f t="shared" si="26"/>
        <v>0</v>
      </c>
      <c r="O59" s="6">
        <f t="shared" si="27"/>
        <v>150</v>
      </c>
      <c r="P59">
        <v>0</v>
      </c>
      <c r="Q59">
        <v>0</v>
      </c>
      <c r="R59" t="s">
        <v>40</v>
      </c>
      <c r="S59">
        <v>0</v>
      </c>
      <c r="T59">
        <v>1</v>
      </c>
      <c r="U59" t="s">
        <v>40</v>
      </c>
      <c r="V59">
        <v>0</v>
      </c>
      <c r="W59">
        <v>1</v>
      </c>
      <c r="X59" t="s">
        <v>40</v>
      </c>
      <c r="Y59">
        <v>0</v>
      </c>
      <c r="Z59">
        <v>1</v>
      </c>
      <c r="AA59" t="s">
        <v>40</v>
      </c>
      <c r="AB59">
        <v>0</v>
      </c>
      <c r="AC59">
        <v>1</v>
      </c>
      <c r="AD59" t="s">
        <v>40</v>
      </c>
      <c r="AE59">
        <v>0</v>
      </c>
      <c r="AF59">
        <v>1</v>
      </c>
      <c r="AG59" t="s">
        <v>40</v>
      </c>
      <c r="AH59">
        <v>0</v>
      </c>
      <c r="AI59">
        <v>1</v>
      </c>
      <c r="AJ59">
        <v>0</v>
      </c>
      <c r="AK59" t="s">
        <v>40</v>
      </c>
      <c r="AL59">
        <v>0</v>
      </c>
      <c r="AM59">
        <v>1</v>
      </c>
      <c r="AN59" t="s">
        <v>98</v>
      </c>
      <c r="AO59" s="6">
        <f t="shared" si="17"/>
        <v>0</v>
      </c>
      <c r="AP59" s="6">
        <f t="shared" si="18"/>
        <v>150</v>
      </c>
      <c r="AQ59" t="s">
        <v>106</v>
      </c>
      <c r="AR59" s="6" t="str">
        <f t="shared" si="19"/>
        <v>BXX</v>
      </c>
      <c r="AS59" t="s">
        <v>1</v>
      </c>
      <c r="AT59" s="6" t="str">
        <f>$A$3&amp;".AO_HH"</f>
        <v>BXX_DEV1_FI1.AO_HH</v>
      </c>
      <c r="AU59" t="s">
        <v>1</v>
      </c>
      <c r="AV59" s="6" t="str">
        <f t="shared" si="20"/>
        <v>Sample Flow HIHI Setpoint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</row>
    <row r="60" spans="1:56" x14ac:dyDescent="0.25">
      <c r="A60" s="3" t="str">
        <f>$A$3&amp;"_"&amp;"E2_CV"</f>
        <v>BXX_DEV1_FI1_E2_CV</v>
      </c>
      <c r="B60" s="6" t="str">
        <f t="shared" si="14"/>
        <v>BXX_DEV1_FI1</v>
      </c>
      <c r="C60" s="6" t="str">
        <f>$C$3 &amp; " Units 2"</f>
        <v>Sample Flow Units 2</v>
      </c>
      <c r="D60" s="4">
        <f t="shared" si="15"/>
        <v>19</v>
      </c>
      <c r="E60" t="s">
        <v>1</v>
      </c>
      <c r="F60" t="s">
        <v>1</v>
      </c>
      <c r="G60">
        <v>0</v>
      </c>
      <c r="H60" t="s">
        <v>0</v>
      </c>
      <c r="I60" t="s">
        <v>1</v>
      </c>
      <c r="J60">
        <v>0</v>
      </c>
      <c r="K60">
        <v>0</v>
      </c>
      <c r="L60" s="2" t="s">
        <v>99</v>
      </c>
      <c r="M60" s="6">
        <f t="shared" si="16"/>
        <v>0</v>
      </c>
      <c r="N60" s="2">
        <v>0</v>
      </c>
      <c r="O60" s="2">
        <v>100</v>
      </c>
      <c r="P60">
        <v>0</v>
      </c>
      <c r="Q60">
        <v>0</v>
      </c>
      <c r="R60" t="s">
        <v>40</v>
      </c>
      <c r="S60">
        <v>0</v>
      </c>
      <c r="T60">
        <v>1</v>
      </c>
      <c r="U60" t="s">
        <v>40</v>
      </c>
      <c r="V60">
        <v>0</v>
      </c>
      <c r="W60">
        <v>1</v>
      </c>
      <c r="X60" t="s">
        <v>40</v>
      </c>
      <c r="Y60">
        <v>0</v>
      </c>
      <c r="Z60">
        <v>1</v>
      </c>
      <c r="AA60" t="s">
        <v>40</v>
      </c>
      <c r="AB60">
        <v>0</v>
      </c>
      <c r="AC60">
        <v>1</v>
      </c>
      <c r="AD60" t="s">
        <v>40</v>
      </c>
      <c r="AE60">
        <v>0</v>
      </c>
      <c r="AF60">
        <v>1</v>
      </c>
      <c r="AG60" t="s">
        <v>40</v>
      </c>
      <c r="AH60">
        <v>0</v>
      </c>
      <c r="AI60">
        <v>1</v>
      </c>
      <c r="AJ60">
        <v>0</v>
      </c>
      <c r="AK60" t="s">
        <v>40</v>
      </c>
      <c r="AL60">
        <v>0</v>
      </c>
      <c r="AM60">
        <v>1</v>
      </c>
      <c r="AN60" t="s">
        <v>98</v>
      </c>
      <c r="AO60" s="6">
        <f t="shared" si="17"/>
        <v>0</v>
      </c>
      <c r="AP60" s="6">
        <f t="shared" si="18"/>
        <v>100</v>
      </c>
      <c r="AQ60" t="s">
        <v>106</v>
      </c>
      <c r="AR60" s="6" t="str">
        <f t="shared" si="19"/>
        <v>BXX</v>
      </c>
      <c r="AS60" t="s">
        <v>1</v>
      </c>
      <c r="AT60" s="6" t="str">
        <f>$A$3&amp;".E2_CV"</f>
        <v>BXX_DEV1_FI1.E2_CV</v>
      </c>
      <c r="AU60" t="s">
        <v>1</v>
      </c>
      <c r="AV60" s="6" t="str">
        <f t="shared" si="20"/>
        <v>Sample Flow Units 2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</row>
    <row r="61" spans="1:56" x14ac:dyDescent="0.25">
      <c r="A61" s="6" t="str">
        <f>$A$3&amp;"_"&amp;"AO_HI"</f>
        <v>BXX_DEV1_FI1_AO_HI</v>
      </c>
      <c r="B61" s="6" t="str">
        <f t="shared" si="14"/>
        <v>BXX_DEV1_FI1</v>
      </c>
      <c r="C61" s="6" t="str">
        <f>$C$3 &amp; " High Setpoint"</f>
        <v>Sample Flow High Setpoint</v>
      </c>
      <c r="D61" s="4">
        <f t="shared" si="15"/>
        <v>25</v>
      </c>
      <c r="E61" t="s">
        <v>1</v>
      </c>
      <c r="F61" t="s">
        <v>0</v>
      </c>
      <c r="G61" s="2">
        <v>600</v>
      </c>
      <c r="H61" t="s">
        <v>0</v>
      </c>
      <c r="I61" t="s">
        <v>1</v>
      </c>
      <c r="J61">
        <v>0</v>
      </c>
      <c r="K61">
        <v>0</v>
      </c>
      <c r="L61" s="6" t="str">
        <f t="shared" si="25"/>
        <v>L/s</v>
      </c>
      <c r="M61" s="6">
        <f t="shared" si="16"/>
        <v>0</v>
      </c>
      <c r="N61" s="6">
        <f t="shared" si="26"/>
        <v>0</v>
      </c>
      <c r="O61" s="6">
        <f t="shared" si="27"/>
        <v>150</v>
      </c>
      <c r="P61">
        <v>0</v>
      </c>
      <c r="Q61">
        <v>0</v>
      </c>
      <c r="R61" t="s">
        <v>40</v>
      </c>
      <c r="S61">
        <v>0</v>
      </c>
      <c r="T61">
        <v>1</v>
      </c>
      <c r="U61" t="s">
        <v>40</v>
      </c>
      <c r="V61">
        <v>0</v>
      </c>
      <c r="W61">
        <v>1</v>
      </c>
      <c r="X61" t="s">
        <v>40</v>
      </c>
      <c r="Y61">
        <v>0</v>
      </c>
      <c r="Z61">
        <v>1</v>
      </c>
      <c r="AA61" t="s">
        <v>40</v>
      </c>
      <c r="AB61">
        <v>0</v>
      </c>
      <c r="AC61">
        <v>1</v>
      </c>
      <c r="AD61" t="s">
        <v>40</v>
      </c>
      <c r="AE61">
        <v>0</v>
      </c>
      <c r="AF61">
        <v>1</v>
      </c>
      <c r="AG61" t="s">
        <v>40</v>
      </c>
      <c r="AH61">
        <v>0</v>
      </c>
      <c r="AI61">
        <v>1</v>
      </c>
      <c r="AJ61">
        <v>0</v>
      </c>
      <c r="AK61" t="s">
        <v>40</v>
      </c>
      <c r="AL61">
        <v>0</v>
      </c>
      <c r="AM61">
        <v>1</v>
      </c>
      <c r="AN61" t="s">
        <v>98</v>
      </c>
      <c r="AO61" s="6">
        <f t="shared" si="17"/>
        <v>0</v>
      </c>
      <c r="AP61" s="6">
        <f t="shared" si="18"/>
        <v>150</v>
      </c>
      <c r="AQ61" t="s">
        <v>106</v>
      </c>
      <c r="AR61" s="6" t="str">
        <f t="shared" si="19"/>
        <v>BXX</v>
      </c>
      <c r="AS61" t="s">
        <v>1</v>
      </c>
      <c r="AT61" s="6" t="str">
        <f>$A$3&amp;".AO_HI"</f>
        <v>BXX_DEV1_FI1.AO_HI</v>
      </c>
      <c r="AU61" t="s">
        <v>1</v>
      </c>
      <c r="AV61" s="6" t="str">
        <f t="shared" si="20"/>
        <v>Sample Flow High Setpoint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</row>
    <row r="62" spans="1:56" x14ac:dyDescent="0.25">
      <c r="A62" s="6" t="str">
        <f>$A$3&amp;"_"&amp;"AO_SV"</f>
        <v>BXX_DEV1_FI1_AO_SV</v>
      </c>
      <c r="B62" s="6" t="str">
        <f t="shared" si="14"/>
        <v>BXX_DEV1_FI1</v>
      </c>
      <c r="C62" s="6" t="str">
        <f>$C$3 &amp; " Override Value"</f>
        <v>Sample Flow Override Value</v>
      </c>
      <c r="D62" s="4">
        <f t="shared" si="15"/>
        <v>26</v>
      </c>
      <c r="E62" t="s">
        <v>1</v>
      </c>
      <c r="F62" t="s">
        <v>0</v>
      </c>
      <c r="G62" s="2">
        <v>700</v>
      </c>
      <c r="H62" t="s">
        <v>0</v>
      </c>
      <c r="I62" t="s">
        <v>1</v>
      </c>
      <c r="J62">
        <v>0</v>
      </c>
      <c r="K62">
        <v>0</v>
      </c>
      <c r="L62" s="6" t="str">
        <f t="shared" si="25"/>
        <v>L/s</v>
      </c>
      <c r="M62" s="6">
        <f t="shared" si="16"/>
        <v>0</v>
      </c>
      <c r="N62" s="6">
        <f t="shared" si="26"/>
        <v>0</v>
      </c>
      <c r="O62" s="6">
        <f t="shared" si="27"/>
        <v>150</v>
      </c>
      <c r="P62">
        <v>0</v>
      </c>
      <c r="Q62">
        <v>0</v>
      </c>
      <c r="R62" t="s">
        <v>40</v>
      </c>
      <c r="S62">
        <v>0</v>
      </c>
      <c r="T62">
        <v>1</v>
      </c>
      <c r="U62" t="s">
        <v>40</v>
      </c>
      <c r="V62">
        <v>0</v>
      </c>
      <c r="W62">
        <v>1</v>
      </c>
      <c r="X62" t="s">
        <v>40</v>
      </c>
      <c r="Y62">
        <v>0</v>
      </c>
      <c r="Z62">
        <v>1</v>
      </c>
      <c r="AA62" t="s">
        <v>40</v>
      </c>
      <c r="AB62">
        <v>0</v>
      </c>
      <c r="AC62">
        <v>1</v>
      </c>
      <c r="AD62" t="s">
        <v>40</v>
      </c>
      <c r="AE62">
        <v>0</v>
      </c>
      <c r="AF62">
        <v>1</v>
      </c>
      <c r="AG62" t="s">
        <v>40</v>
      </c>
      <c r="AH62">
        <v>0</v>
      </c>
      <c r="AI62">
        <v>1</v>
      </c>
      <c r="AJ62">
        <v>0</v>
      </c>
      <c r="AK62" t="s">
        <v>40</v>
      </c>
      <c r="AL62">
        <v>0</v>
      </c>
      <c r="AM62">
        <v>1</v>
      </c>
      <c r="AN62" t="s">
        <v>98</v>
      </c>
      <c r="AO62" s="6">
        <f t="shared" si="17"/>
        <v>0</v>
      </c>
      <c r="AP62" s="6">
        <f t="shared" si="18"/>
        <v>150</v>
      </c>
      <c r="AQ62" t="s">
        <v>106</v>
      </c>
      <c r="AR62" s="6" t="str">
        <f t="shared" si="19"/>
        <v>BXX</v>
      </c>
      <c r="AS62" t="s">
        <v>1</v>
      </c>
      <c r="AT62" s="6" t="str">
        <f>$A$3&amp;".AO_SV"</f>
        <v>BXX_DEV1_FI1.AO_SV</v>
      </c>
      <c r="AU62" t="s">
        <v>1</v>
      </c>
      <c r="AV62" s="6" t="str">
        <f t="shared" si="20"/>
        <v>Sample Flow Override Value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</row>
    <row r="63" spans="1:56" x14ac:dyDescent="0.25">
      <c r="A63" s="6" t="str">
        <f>$A$3&amp;"_"&amp;"AO_EM"</f>
        <v>BXX_DEV1_FI1_AO_EM</v>
      </c>
      <c r="B63" s="6" t="str">
        <f t="shared" si="14"/>
        <v>BXX_DEV1_FI1</v>
      </c>
      <c r="C63" s="6" t="str">
        <f>$C$3 &amp; " Zero Setpoint"</f>
        <v>Sample Flow Zero Setpoint</v>
      </c>
      <c r="D63" s="4">
        <f t="shared" si="15"/>
        <v>25</v>
      </c>
      <c r="E63" t="s">
        <v>1</v>
      </c>
      <c r="F63" t="s">
        <v>0</v>
      </c>
      <c r="G63" s="2">
        <v>900</v>
      </c>
      <c r="H63" t="s">
        <v>0</v>
      </c>
      <c r="I63" t="s">
        <v>1</v>
      </c>
      <c r="J63">
        <v>0</v>
      </c>
      <c r="K63">
        <v>0</v>
      </c>
      <c r="L63" s="6" t="str">
        <f t="shared" si="25"/>
        <v>L/s</v>
      </c>
      <c r="M63" s="6">
        <f t="shared" si="16"/>
        <v>0</v>
      </c>
      <c r="N63" s="6">
        <f t="shared" si="26"/>
        <v>0</v>
      </c>
      <c r="O63" s="6">
        <f t="shared" si="27"/>
        <v>150</v>
      </c>
      <c r="P63">
        <v>0</v>
      </c>
      <c r="Q63">
        <v>0</v>
      </c>
      <c r="R63" t="s">
        <v>40</v>
      </c>
      <c r="S63">
        <v>0</v>
      </c>
      <c r="T63">
        <v>1</v>
      </c>
      <c r="U63" t="s">
        <v>40</v>
      </c>
      <c r="V63">
        <v>0</v>
      </c>
      <c r="W63">
        <v>1</v>
      </c>
      <c r="X63" t="s">
        <v>40</v>
      </c>
      <c r="Y63">
        <v>0</v>
      </c>
      <c r="Z63">
        <v>1</v>
      </c>
      <c r="AA63" t="s">
        <v>40</v>
      </c>
      <c r="AB63">
        <v>0</v>
      </c>
      <c r="AC63">
        <v>1</v>
      </c>
      <c r="AD63" t="s">
        <v>40</v>
      </c>
      <c r="AE63">
        <v>0</v>
      </c>
      <c r="AF63">
        <v>1</v>
      </c>
      <c r="AG63" t="s">
        <v>40</v>
      </c>
      <c r="AH63">
        <v>0</v>
      </c>
      <c r="AI63">
        <v>1</v>
      </c>
      <c r="AJ63">
        <v>0</v>
      </c>
      <c r="AK63" t="s">
        <v>40</v>
      </c>
      <c r="AL63">
        <v>0</v>
      </c>
      <c r="AM63">
        <v>1</v>
      </c>
      <c r="AN63" t="s">
        <v>98</v>
      </c>
      <c r="AO63" s="6">
        <f t="shared" si="17"/>
        <v>0</v>
      </c>
      <c r="AP63" s="6">
        <f t="shared" si="18"/>
        <v>150</v>
      </c>
      <c r="AQ63" t="s">
        <v>106</v>
      </c>
      <c r="AR63" s="6" t="str">
        <f t="shared" si="19"/>
        <v>BXX</v>
      </c>
      <c r="AS63" t="s">
        <v>1</v>
      </c>
      <c r="AT63" s="6" t="str">
        <f>$A$3&amp;".AO_EM"</f>
        <v>BXX_DEV1_FI1.AO_EM</v>
      </c>
      <c r="AU63" t="s">
        <v>1</v>
      </c>
      <c r="AV63" s="6" t="str">
        <f t="shared" si="20"/>
        <v>Sample Flow Zero Setpoint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</row>
    <row r="64" spans="1:56" x14ac:dyDescent="0.25">
      <c r="A64" s="3" t="str">
        <f>$A$3&amp;"_"&amp;"E3_CV"</f>
        <v>BXX_DEV1_FI1_E3_CV</v>
      </c>
      <c r="B64" s="6" t="str">
        <f t="shared" si="14"/>
        <v>BXX_DEV1_FI1</v>
      </c>
      <c r="C64" s="6" t="str">
        <f>$C$3 &amp; " Units 3"</f>
        <v>Sample Flow Units 3</v>
      </c>
      <c r="D64" s="4">
        <f t="shared" si="15"/>
        <v>19</v>
      </c>
      <c r="E64" t="s">
        <v>1</v>
      </c>
      <c r="F64" t="s">
        <v>1</v>
      </c>
      <c r="G64">
        <v>0</v>
      </c>
      <c r="H64" t="s">
        <v>0</v>
      </c>
      <c r="I64" t="s">
        <v>1</v>
      </c>
      <c r="J64">
        <v>0</v>
      </c>
      <c r="K64">
        <v>0</v>
      </c>
      <c r="L64" s="2" t="s">
        <v>108</v>
      </c>
      <c r="M64" s="6">
        <f t="shared" si="16"/>
        <v>4</v>
      </c>
      <c r="N64" s="2">
        <v>4</v>
      </c>
      <c r="O64" s="2">
        <v>20</v>
      </c>
      <c r="P64">
        <v>0</v>
      </c>
      <c r="Q64">
        <v>0</v>
      </c>
      <c r="R64" t="s">
        <v>40</v>
      </c>
      <c r="S64">
        <v>0</v>
      </c>
      <c r="T64">
        <v>1</v>
      </c>
      <c r="U64" t="s">
        <v>40</v>
      </c>
      <c r="V64">
        <v>0</v>
      </c>
      <c r="W64">
        <v>1</v>
      </c>
      <c r="X64" t="s">
        <v>40</v>
      </c>
      <c r="Y64">
        <v>0</v>
      </c>
      <c r="Z64">
        <v>1</v>
      </c>
      <c r="AA64" t="s">
        <v>40</v>
      </c>
      <c r="AB64">
        <v>0</v>
      </c>
      <c r="AC64">
        <v>1</v>
      </c>
      <c r="AD64" t="s">
        <v>40</v>
      </c>
      <c r="AE64">
        <v>0</v>
      </c>
      <c r="AF64">
        <v>1</v>
      </c>
      <c r="AG64" t="s">
        <v>40</v>
      </c>
      <c r="AH64">
        <v>0</v>
      </c>
      <c r="AI64">
        <v>1</v>
      </c>
      <c r="AJ64">
        <v>0</v>
      </c>
      <c r="AK64" t="s">
        <v>40</v>
      </c>
      <c r="AL64">
        <v>0</v>
      </c>
      <c r="AM64">
        <v>1</v>
      </c>
      <c r="AN64" t="s">
        <v>98</v>
      </c>
      <c r="AO64" s="6">
        <f t="shared" si="17"/>
        <v>4</v>
      </c>
      <c r="AP64" s="6">
        <f t="shared" si="18"/>
        <v>20</v>
      </c>
      <c r="AQ64" t="s">
        <v>106</v>
      </c>
      <c r="AR64" s="6" t="str">
        <f t="shared" si="19"/>
        <v>BXX</v>
      </c>
      <c r="AS64" t="s">
        <v>1</v>
      </c>
      <c r="AT64" s="6" t="str">
        <f>$A$3&amp;".E3_CV"</f>
        <v>BXX_DEV1_FI1.E3_CV</v>
      </c>
      <c r="AU64" t="s">
        <v>1</v>
      </c>
      <c r="AV64" s="6" t="str">
        <f t="shared" si="20"/>
        <v>Sample Flow Units 3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</row>
    <row r="65" spans="1:56" x14ac:dyDescent="0.25">
      <c r="A65" s="6" t="str">
        <f>$A$3&amp;"_"&amp;"SN_HH"</f>
        <v>BXX_DEV1_FI1_SN_HH</v>
      </c>
      <c r="B65" s="6" t="str">
        <f t="shared" si="14"/>
        <v>BXX_DEV1_FI1</v>
      </c>
      <c r="C65" s="6" t="str">
        <f>$C$3 &amp; " HIHI Alarm Delay"</f>
        <v>Sample Flow HIHI Alarm Delay</v>
      </c>
      <c r="D65" s="4">
        <f t="shared" si="15"/>
        <v>28</v>
      </c>
      <c r="E65" t="s">
        <v>1</v>
      </c>
      <c r="F65" t="s">
        <v>0</v>
      </c>
      <c r="G65" s="2">
        <v>600</v>
      </c>
      <c r="H65" t="s">
        <v>0</v>
      </c>
      <c r="I65" t="s">
        <v>1</v>
      </c>
      <c r="J65">
        <v>0</v>
      </c>
      <c r="K65">
        <v>0</v>
      </c>
      <c r="L65" t="s">
        <v>109</v>
      </c>
      <c r="M65" s="6">
        <f t="shared" si="16"/>
        <v>0</v>
      </c>
      <c r="N65">
        <v>0</v>
      </c>
      <c r="O65">
        <v>999</v>
      </c>
      <c r="P65">
        <v>0</v>
      </c>
      <c r="Q65">
        <v>0</v>
      </c>
      <c r="R65" t="s">
        <v>40</v>
      </c>
      <c r="S65">
        <v>0</v>
      </c>
      <c r="T65">
        <v>1</v>
      </c>
      <c r="U65" t="s">
        <v>40</v>
      </c>
      <c r="V65">
        <v>0</v>
      </c>
      <c r="W65">
        <v>1</v>
      </c>
      <c r="X65" t="s">
        <v>40</v>
      </c>
      <c r="Y65">
        <v>0</v>
      </c>
      <c r="Z65">
        <v>1</v>
      </c>
      <c r="AA65" t="s">
        <v>40</v>
      </c>
      <c r="AB65">
        <v>0</v>
      </c>
      <c r="AC65">
        <v>1</v>
      </c>
      <c r="AD65" t="s">
        <v>40</v>
      </c>
      <c r="AE65">
        <v>0</v>
      </c>
      <c r="AF65">
        <v>1</v>
      </c>
      <c r="AG65" t="s">
        <v>40</v>
      </c>
      <c r="AH65">
        <v>0</v>
      </c>
      <c r="AI65">
        <v>1</v>
      </c>
      <c r="AJ65">
        <v>0</v>
      </c>
      <c r="AK65" t="s">
        <v>40</v>
      </c>
      <c r="AL65">
        <v>0</v>
      </c>
      <c r="AM65">
        <v>1</v>
      </c>
      <c r="AN65" t="s">
        <v>98</v>
      </c>
      <c r="AO65" s="6">
        <f t="shared" si="17"/>
        <v>0</v>
      </c>
      <c r="AP65" s="6">
        <f t="shared" si="18"/>
        <v>999</v>
      </c>
      <c r="AQ65" t="s">
        <v>106</v>
      </c>
      <c r="AR65" s="6" t="str">
        <f t="shared" si="19"/>
        <v>BXX</v>
      </c>
      <c r="AS65" t="s">
        <v>1</v>
      </c>
      <c r="AT65" s="6" t="str">
        <f>$A$3&amp;".SN_HH"</f>
        <v>BXX_DEV1_FI1.SN_HH</v>
      </c>
      <c r="AU65" t="s">
        <v>1</v>
      </c>
      <c r="AV65" s="6" t="str">
        <f t="shared" si="20"/>
        <v>Sample Flow HIHI Alarm Delay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</row>
    <row r="66" spans="1:56" x14ac:dyDescent="0.25">
      <c r="A66" s="6" t="str">
        <f>$A$3&amp;"_"&amp;"SN_LO"</f>
        <v>BXX_DEV1_FI1_SN_LO</v>
      </c>
      <c r="B66" s="6" t="str">
        <f t="shared" si="14"/>
        <v>BXX_DEV1_FI1</v>
      </c>
      <c r="C66" s="6" t="str">
        <f>$C$3 &amp; " Low Alarm Delay"</f>
        <v>Sample Flow Low Alarm Delay</v>
      </c>
      <c r="D66" s="4">
        <f t="shared" si="15"/>
        <v>27</v>
      </c>
      <c r="E66" t="s">
        <v>1</v>
      </c>
      <c r="F66" t="s">
        <v>0</v>
      </c>
      <c r="G66" s="2">
        <v>600</v>
      </c>
      <c r="H66" t="s">
        <v>0</v>
      </c>
      <c r="I66" t="s">
        <v>1</v>
      </c>
      <c r="J66">
        <v>0</v>
      </c>
      <c r="K66">
        <v>0</v>
      </c>
      <c r="L66" t="s">
        <v>109</v>
      </c>
      <c r="M66" s="6">
        <f t="shared" si="16"/>
        <v>0</v>
      </c>
      <c r="N66">
        <v>0</v>
      </c>
      <c r="O66">
        <v>999</v>
      </c>
      <c r="P66">
        <v>0</v>
      </c>
      <c r="Q66">
        <v>0</v>
      </c>
      <c r="R66" t="s">
        <v>40</v>
      </c>
      <c r="S66">
        <v>0</v>
      </c>
      <c r="T66">
        <v>1</v>
      </c>
      <c r="U66" t="s">
        <v>40</v>
      </c>
      <c r="V66">
        <v>0</v>
      </c>
      <c r="W66">
        <v>1</v>
      </c>
      <c r="X66" t="s">
        <v>40</v>
      </c>
      <c r="Y66">
        <v>0</v>
      </c>
      <c r="Z66">
        <v>1</v>
      </c>
      <c r="AA66" t="s">
        <v>40</v>
      </c>
      <c r="AB66">
        <v>0</v>
      </c>
      <c r="AC66">
        <v>1</v>
      </c>
      <c r="AD66" t="s">
        <v>40</v>
      </c>
      <c r="AE66">
        <v>0</v>
      </c>
      <c r="AF66">
        <v>1</v>
      </c>
      <c r="AG66" t="s">
        <v>40</v>
      </c>
      <c r="AH66">
        <v>0</v>
      </c>
      <c r="AI66">
        <v>1</v>
      </c>
      <c r="AJ66">
        <v>0</v>
      </c>
      <c r="AK66" t="s">
        <v>40</v>
      </c>
      <c r="AL66">
        <v>0</v>
      </c>
      <c r="AM66">
        <v>1</v>
      </c>
      <c r="AN66" t="s">
        <v>98</v>
      </c>
      <c r="AO66" s="6">
        <f t="shared" si="17"/>
        <v>0</v>
      </c>
      <c r="AP66" s="6">
        <f t="shared" si="18"/>
        <v>999</v>
      </c>
      <c r="AQ66" t="s">
        <v>106</v>
      </c>
      <c r="AR66" s="6" t="str">
        <f t="shared" si="19"/>
        <v>BXX</v>
      </c>
      <c r="AS66" t="s">
        <v>1</v>
      </c>
      <c r="AT66" s="6" t="str">
        <f>$A$3&amp;".SN_LO"</f>
        <v>BXX_DEV1_FI1.SN_LO</v>
      </c>
      <c r="AU66" t="s">
        <v>1</v>
      </c>
      <c r="AV66" s="6" t="str">
        <f t="shared" si="20"/>
        <v>Sample Flow Low Alarm Delay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</row>
    <row r="67" spans="1:56" x14ac:dyDescent="0.25">
      <c r="A67" s="6" t="str">
        <f>$A$3&amp;"_"&amp;"AO_LL"</f>
        <v>BXX_DEV1_FI1_AO_LL</v>
      </c>
      <c r="B67" s="6" t="str">
        <f t="shared" si="14"/>
        <v>BXX_DEV1_FI1</v>
      </c>
      <c r="C67" s="6" t="str">
        <f>$C$3 &amp; " LOLO Setpoint"</f>
        <v>Sample Flow LOLO Setpoint</v>
      </c>
      <c r="D67" s="4">
        <f t="shared" si="15"/>
        <v>25</v>
      </c>
      <c r="E67" t="s">
        <v>1</v>
      </c>
      <c r="F67" t="s">
        <v>0</v>
      </c>
      <c r="G67" s="2">
        <v>600</v>
      </c>
      <c r="H67" t="s">
        <v>0</v>
      </c>
      <c r="I67" t="s">
        <v>1</v>
      </c>
      <c r="J67">
        <v>0</v>
      </c>
      <c r="K67">
        <v>0</v>
      </c>
      <c r="L67" s="6" t="str">
        <f t="shared" ref="L67" si="28">$L$49</f>
        <v>L/s</v>
      </c>
      <c r="M67" s="6">
        <f t="shared" si="16"/>
        <v>0</v>
      </c>
      <c r="N67" s="6">
        <f t="shared" ref="N67" si="29">$N$49</f>
        <v>0</v>
      </c>
      <c r="O67" s="6">
        <f t="shared" ref="O67" si="30">$O$49</f>
        <v>150</v>
      </c>
      <c r="P67">
        <v>0</v>
      </c>
      <c r="Q67">
        <v>0</v>
      </c>
      <c r="R67" t="s">
        <v>40</v>
      </c>
      <c r="S67">
        <v>0</v>
      </c>
      <c r="T67">
        <v>1</v>
      </c>
      <c r="U67" t="s">
        <v>40</v>
      </c>
      <c r="V67">
        <v>0</v>
      </c>
      <c r="W67">
        <v>1</v>
      </c>
      <c r="X67" t="s">
        <v>40</v>
      </c>
      <c r="Y67">
        <v>0</v>
      </c>
      <c r="Z67">
        <v>1</v>
      </c>
      <c r="AA67" t="s">
        <v>40</v>
      </c>
      <c r="AB67">
        <v>0</v>
      </c>
      <c r="AC67">
        <v>1</v>
      </c>
      <c r="AD67" t="s">
        <v>40</v>
      </c>
      <c r="AE67">
        <v>0</v>
      </c>
      <c r="AF67">
        <v>1</v>
      </c>
      <c r="AG67" t="s">
        <v>40</v>
      </c>
      <c r="AH67">
        <v>0</v>
      </c>
      <c r="AI67">
        <v>1</v>
      </c>
      <c r="AJ67">
        <v>0</v>
      </c>
      <c r="AK67" t="s">
        <v>40</v>
      </c>
      <c r="AL67">
        <v>0</v>
      </c>
      <c r="AM67">
        <v>1</v>
      </c>
      <c r="AN67" t="s">
        <v>98</v>
      </c>
      <c r="AO67" s="6">
        <f t="shared" si="17"/>
        <v>0</v>
      </c>
      <c r="AP67" s="6">
        <f t="shared" si="18"/>
        <v>150</v>
      </c>
      <c r="AQ67" t="s">
        <v>106</v>
      </c>
      <c r="AR67" s="6" t="str">
        <f t="shared" si="19"/>
        <v>BXX</v>
      </c>
      <c r="AS67" t="s">
        <v>1</v>
      </c>
      <c r="AT67" s="6" t="str">
        <f>$A$3&amp;".AO_LL"</f>
        <v>BXX_DEV1_FI1.AO_LL</v>
      </c>
      <c r="AU67" t="s">
        <v>1</v>
      </c>
      <c r="AV67" s="6" t="str">
        <f t="shared" si="20"/>
        <v>Sample Flow LOLO Setpoint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</row>
    <row r="68" spans="1:56" x14ac:dyDescent="0.25">
      <c r="A68" t="s">
        <v>112</v>
      </c>
      <c r="B68" t="s">
        <v>4</v>
      </c>
      <c r="C68" t="s">
        <v>5</v>
      </c>
      <c r="E68" t="s">
        <v>30</v>
      </c>
      <c r="F68" t="s">
        <v>6</v>
      </c>
      <c r="G68" t="s">
        <v>7</v>
      </c>
      <c r="H68" t="s">
        <v>31</v>
      </c>
      <c r="I68" t="s">
        <v>113</v>
      </c>
      <c r="J68" t="s">
        <v>114</v>
      </c>
      <c r="K68" t="s">
        <v>37</v>
      </c>
      <c r="L68" t="s">
        <v>39</v>
      </c>
    </row>
    <row r="69" spans="1:56" x14ac:dyDescent="0.25">
      <c r="A69" s="6" t="str">
        <f>$A$3&amp;"_"&amp;"DI_NM"</f>
        <v>BXX_DEV1_FI1_DI_NM</v>
      </c>
      <c r="B69" s="6" t="str">
        <f t="shared" si="14"/>
        <v>BXX_DEV1_FI1</v>
      </c>
      <c r="C69" s="6" t="str">
        <f t="shared" si="14"/>
        <v>BXX_DEV1_FI1</v>
      </c>
      <c r="D69" s="4">
        <f t="shared" si="15"/>
        <v>12</v>
      </c>
      <c r="E69" t="s">
        <v>1</v>
      </c>
      <c r="F69" t="s">
        <v>1</v>
      </c>
      <c r="G69">
        <v>0</v>
      </c>
      <c r="H69" t="s">
        <v>0</v>
      </c>
      <c r="I69">
        <v>24</v>
      </c>
      <c r="J69" t="s">
        <v>26</v>
      </c>
      <c r="K69" t="s">
        <v>26</v>
      </c>
      <c r="L69" t="s">
        <v>0</v>
      </c>
    </row>
    <row r="70" spans="1:56" s="47" customFormat="1" x14ac:dyDescent="0.25">
      <c r="A70" s="48" t="s">
        <v>207</v>
      </c>
      <c r="B70" s="48" t="s">
        <v>144</v>
      </c>
      <c r="C70" s="48" t="s">
        <v>208</v>
      </c>
      <c r="D70" s="4">
        <f t="shared" si="15"/>
        <v>20</v>
      </c>
      <c r="E70" s="48" t="s">
        <v>1</v>
      </c>
      <c r="F70" s="48" t="s">
        <v>1</v>
      </c>
      <c r="G70" s="48">
        <v>0</v>
      </c>
      <c r="H70" s="48" t="s">
        <v>1</v>
      </c>
      <c r="I70" s="48">
        <v>131</v>
      </c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</row>
    <row r="71" spans="1:56" s="114" customFormat="1" x14ac:dyDescent="0.25">
      <c r="A71" s="115" t="s">
        <v>792</v>
      </c>
      <c r="B71" s="115" t="s">
        <v>144</v>
      </c>
      <c r="C71" s="115" t="s">
        <v>221</v>
      </c>
      <c r="D71" s="4">
        <f t="shared" si="15"/>
        <v>32</v>
      </c>
      <c r="E71" s="115" t="s">
        <v>1</v>
      </c>
      <c r="F71" s="115" t="s">
        <v>1</v>
      </c>
      <c r="G71" s="115">
        <v>0</v>
      </c>
      <c r="H71" s="115" t="s">
        <v>1</v>
      </c>
      <c r="I71" s="115">
        <v>131</v>
      </c>
      <c r="J71" s="115"/>
      <c r="K71" s="115"/>
      <c r="L71" s="115"/>
      <c r="M71" s="115"/>
      <c r="N71" s="115"/>
      <c r="O71" s="115"/>
    </row>
    <row r="72" spans="1:56" x14ac:dyDescent="0.25">
      <c r="A72" t="s">
        <v>115</v>
      </c>
      <c r="B72" t="s">
        <v>4</v>
      </c>
      <c r="C72" t="s">
        <v>5</v>
      </c>
      <c r="D72" s="4">
        <f t="shared" si="15"/>
        <v>7</v>
      </c>
      <c r="E72" t="s">
        <v>30</v>
      </c>
      <c r="F72" t="s">
        <v>6</v>
      </c>
      <c r="G72" t="s">
        <v>7</v>
      </c>
      <c r="H72" t="s">
        <v>31</v>
      </c>
      <c r="I72" t="s">
        <v>113</v>
      </c>
      <c r="J72" t="s">
        <v>114</v>
      </c>
      <c r="K72" t="s">
        <v>45</v>
      </c>
      <c r="L72" t="s">
        <v>46</v>
      </c>
      <c r="M72" t="s">
        <v>47</v>
      </c>
      <c r="N72" t="s">
        <v>48</v>
      </c>
      <c r="O72" t="s">
        <v>37</v>
      </c>
      <c r="P72" t="s">
        <v>39</v>
      </c>
    </row>
    <row r="73" spans="1:56" x14ac:dyDescent="0.25">
      <c r="A73" s="3" t="str">
        <f>$A$3&amp;"_"&amp;"PB_HH_RN"</f>
        <v>BXX_DEV1_FI1_PB_HH_RN</v>
      </c>
      <c r="B73" s="6" t="str">
        <f>$A$3</f>
        <v>BXX_DEV1_FI1</v>
      </c>
      <c r="C73" s="6" t="str">
        <f>$C$3 &amp; " HIHI Alarm Disabled Reason"</f>
        <v>Sample Flow HIHI Alarm Disabled Reason</v>
      </c>
      <c r="D73" s="4">
        <f t="shared" si="15"/>
        <v>38</v>
      </c>
      <c r="E73" t="s">
        <v>1</v>
      </c>
      <c r="F73" t="s">
        <v>1</v>
      </c>
      <c r="G73">
        <v>0</v>
      </c>
      <c r="H73" t="s">
        <v>0</v>
      </c>
      <c r="I73">
        <v>131</v>
      </c>
      <c r="J73" t="s">
        <v>123</v>
      </c>
      <c r="K73" s="2" t="s">
        <v>124</v>
      </c>
      <c r="L73" t="s">
        <v>0</v>
      </c>
      <c r="M73" s="6" t="str">
        <f>A73</f>
        <v>BXX_DEV1_FI1_PB_HH_RN</v>
      </c>
      <c r="N73" t="s">
        <v>1</v>
      </c>
      <c r="O73" s="6" t="str">
        <f>C73</f>
        <v>Sample Flow HIHI Alarm Disabled Reason</v>
      </c>
    </row>
    <row r="74" spans="1:56" x14ac:dyDescent="0.25">
      <c r="A74" s="3" t="str">
        <f>$A$3&amp;"_"&amp;"PB_HI_RN"</f>
        <v>BXX_DEV1_FI1_PB_HI_RN</v>
      </c>
      <c r="B74" s="6" t="str">
        <f t="shared" ref="B74:B78" si="31">$A$3</f>
        <v>BXX_DEV1_FI1</v>
      </c>
      <c r="C74" s="6" t="str">
        <f>$C$3 &amp; " High Alarm Disabled Reason"</f>
        <v>Sample Flow High Alarm Disabled Reason</v>
      </c>
      <c r="D74" s="4">
        <f t="shared" si="15"/>
        <v>38</v>
      </c>
      <c r="E74" t="s">
        <v>1</v>
      </c>
      <c r="F74" t="s">
        <v>1</v>
      </c>
      <c r="G74">
        <v>0</v>
      </c>
      <c r="H74" t="s">
        <v>0</v>
      </c>
      <c r="I74">
        <v>131</v>
      </c>
      <c r="J74" t="s">
        <v>123</v>
      </c>
      <c r="K74" s="6" t="str">
        <f>$K$73</f>
        <v>BXXCPU01_1</v>
      </c>
      <c r="L74" t="s">
        <v>0</v>
      </c>
      <c r="M74" s="6" t="str">
        <f t="shared" ref="M74:M78" si="32">A74</f>
        <v>BXX_DEV1_FI1_PB_HI_RN</v>
      </c>
      <c r="N74" t="s">
        <v>1</v>
      </c>
      <c r="O74" s="6" t="str">
        <f t="shared" ref="O74:O78" si="33">C74</f>
        <v>Sample Flow High Alarm Disabled Reason</v>
      </c>
    </row>
    <row r="75" spans="1:56" x14ac:dyDescent="0.25">
      <c r="A75" s="3" t="str">
        <f>$A$3&amp;"_"&amp;"PB_LO_RN"</f>
        <v>BXX_DEV1_FI1_PB_LO_RN</v>
      </c>
      <c r="B75" s="6" t="str">
        <f t="shared" si="31"/>
        <v>BXX_DEV1_FI1</v>
      </c>
      <c r="C75" s="6" t="str">
        <f>$C$3 &amp; " Low Alarm Disabled Reason"</f>
        <v>Sample Flow Low Alarm Disabled Reason</v>
      </c>
      <c r="D75" s="4">
        <f t="shared" si="15"/>
        <v>37</v>
      </c>
      <c r="E75" t="s">
        <v>1</v>
      </c>
      <c r="F75" t="s">
        <v>1</v>
      </c>
      <c r="G75">
        <v>0</v>
      </c>
      <c r="H75" t="s">
        <v>0</v>
      </c>
      <c r="I75">
        <v>131</v>
      </c>
      <c r="J75" t="s">
        <v>123</v>
      </c>
      <c r="K75" s="6" t="str">
        <f t="shared" ref="K75:K78" si="34">$K$73</f>
        <v>BXXCPU01_1</v>
      </c>
      <c r="L75" t="s">
        <v>0</v>
      </c>
      <c r="M75" s="6" t="str">
        <f t="shared" si="32"/>
        <v>BXX_DEV1_FI1_PB_LO_RN</v>
      </c>
      <c r="N75" t="s">
        <v>1</v>
      </c>
      <c r="O75" s="6" t="str">
        <f t="shared" si="33"/>
        <v>Sample Flow Low Alarm Disabled Reason</v>
      </c>
    </row>
    <row r="76" spans="1:56" x14ac:dyDescent="0.25">
      <c r="A76" s="3" t="str">
        <f>$A$3&amp;"_"&amp;"PB_LL_RN"</f>
        <v>BXX_DEV1_FI1_PB_LL_RN</v>
      </c>
      <c r="B76" s="6" t="str">
        <f t="shared" si="31"/>
        <v>BXX_DEV1_FI1</v>
      </c>
      <c r="C76" s="6" t="str">
        <f>$C$3 &amp; " LOLO Alarm Disabled Reason"</f>
        <v>Sample Flow LOLO Alarm Disabled Reason</v>
      </c>
      <c r="D76" s="4">
        <f t="shared" si="15"/>
        <v>38</v>
      </c>
      <c r="E76" t="s">
        <v>1</v>
      </c>
      <c r="F76" t="s">
        <v>1</v>
      </c>
      <c r="G76">
        <v>0</v>
      </c>
      <c r="H76" t="s">
        <v>0</v>
      </c>
      <c r="I76">
        <v>131</v>
      </c>
      <c r="J76" t="s">
        <v>123</v>
      </c>
      <c r="K76" s="6" t="str">
        <f t="shared" si="34"/>
        <v>BXXCPU01_1</v>
      </c>
      <c r="L76" t="s">
        <v>0</v>
      </c>
      <c r="M76" s="6" t="str">
        <f t="shared" si="32"/>
        <v>BXX_DEV1_FI1_PB_LL_RN</v>
      </c>
      <c r="N76" t="s">
        <v>1</v>
      </c>
      <c r="O76" s="6" t="str">
        <f t="shared" si="33"/>
        <v>Sample Flow LOLO Alarm Disabled Reason</v>
      </c>
    </row>
    <row r="77" spans="1:56" x14ac:dyDescent="0.25">
      <c r="A77" s="3" t="str">
        <f>$A$3&amp;"_"&amp;"PB_ER_RN"</f>
        <v>BXX_DEV1_FI1_PB_ER_RN</v>
      </c>
      <c r="B77" s="6" t="str">
        <f t="shared" si="31"/>
        <v>BXX_DEV1_FI1</v>
      </c>
      <c r="C77" s="6" t="str">
        <f>$C$3 &amp; " Sig Error Alarm Dis Reason"</f>
        <v>Sample Flow Sig Error Alarm Dis Reason</v>
      </c>
      <c r="D77" s="4">
        <f t="shared" si="15"/>
        <v>38</v>
      </c>
      <c r="E77" t="s">
        <v>1</v>
      </c>
      <c r="F77" t="s">
        <v>1</v>
      </c>
      <c r="G77">
        <v>0</v>
      </c>
      <c r="H77" t="s">
        <v>0</v>
      </c>
      <c r="I77">
        <v>131</v>
      </c>
      <c r="J77" t="s">
        <v>123</v>
      </c>
      <c r="K77" s="6" t="str">
        <f t="shared" si="34"/>
        <v>BXXCPU01_1</v>
      </c>
      <c r="L77" t="s">
        <v>0</v>
      </c>
      <c r="M77" s="6" t="str">
        <f t="shared" si="32"/>
        <v>BXX_DEV1_FI1_PB_ER_RN</v>
      </c>
      <c r="N77" t="s">
        <v>1</v>
      </c>
      <c r="O77" s="6" t="str">
        <f t="shared" si="33"/>
        <v>Sample Flow Sig Error Alarm Dis Reason</v>
      </c>
    </row>
    <row r="78" spans="1:56" x14ac:dyDescent="0.25">
      <c r="A78" s="3" t="str">
        <f>$A$3&amp;"_"&amp;"PB_AE_RN"</f>
        <v>BXX_DEV1_FI1_PB_AE_RN</v>
      </c>
      <c r="B78" s="6" t="str">
        <f t="shared" si="31"/>
        <v>BXX_DEV1_FI1</v>
      </c>
      <c r="C78" s="6" t="str">
        <f>$C$3 &amp; " Alarms Disabled Reason"</f>
        <v>Sample Flow Alarms Disabled Reason</v>
      </c>
      <c r="D78" s="4">
        <f t="shared" si="15"/>
        <v>34</v>
      </c>
      <c r="E78" t="s">
        <v>1</v>
      </c>
      <c r="F78" t="s">
        <v>1</v>
      </c>
      <c r="G78">
        <v>0</v>
      </c>
      <c r="H78" t="s">
        <v>0</v>
      </c>
      <c r="I78">
        <v>131</v>
      </c>
      <c r="J78" t="s">
        <v>123</v>
      </c>
      <c r="K78" s="6" t="str">
        <f t="shared" si="34"/>
        <v>BXXCPU01_1</v>
      </c>
      <c r="L78" t="s">
        <v>0</v>
      </c>
      <c r="M78" s="6" t="str">
        <f t="shared" si="32"/>
        <v>BXX_DEV1_FI1_PB_AE_RN</v>
      </c>
      <c r="N78" t="s">
        <v>1</v>
      </c>
      <c r="O78" s="6" t="str">
        <f t="shared" si="33"/>
        <v>Sample Flow Alarms Disabled Reason</v>
      </c>
    </row>
    <row r="79" spans="1:56" x14ac:dyDescent="0.25">
      <c r="A79" s="37" t="s">
        <v>176</v>
      </c>
      <c r="B79" s="37" t="s">
        <v>4</v>
      </c>
      <c r="C79" s="37" t="s">
        <v>5</v>
      </c>
      <c r="D79" s="4">
        <f t="shared" si="15"/>
        <v>7</v>
      </c>
      <c r="E79" s="37" t="s">
        <v>6</v>
      </c>
      <c r="F79" s="37" t="s">
        <v>7</v>
      </c>
      <c r="G79" s="37" t="s">
        <v>31</v>
      </c>
      <c r="H79" s="37" t="s">
        <v>39</v>
      </c>
    </row>
    <row r="80" spans="1:56" x14ac:dyDescent="0.25">
      <c r="A80" s="38" t="s">
        <v>545</v>
      </c>
      <c r="B80" s="38" t="s">
        <v>144</v>
      </c>
      <c r="C80" s="38" t="s">
        <v>177</v>
      </c>
      <c r="D80" s="4">
        <f t="shared" si="15"/>
        <v>44</v>
      </c>
      <c r="E80" s="38" t="s">
        <v>1</v>
      </c>
      <c r="F80" s="38">
        <v>0</v>
      </c>
      <c r="G80" s="38" t="s">
        <v>1</v>
      </c>
      <c r="H80" s="38"/>
    </row>
    <row r="81" spans="1:8" x14ac:dyDescent="0.25">
      <c r="A81" s="38" t="s">
        <v>546</v>
      </c>
      <c r="B81" s="38" t="s">
        <v>144</v>
      </c>
      <c r="C81" s="38" t="s">
        <v>178</v>
      </c>
      <c r="D81" s="4">
        <f t="shared" si="15"/>
        <v>41</v>
      </c>
      <c r="E81" s="38" t="s">
        <v>1</v>
      </c>
      <c r="F81" s="38">
        <v>0</v>
      </c>
      <c r="G81" s="38" t="s">
        <v>1</v>
      </c>
      <c r="H81" s="38"/>
    </row>
    <row r="82" spans="1:8" x14ac:dyDescent="0.25">
      <c r="A82" s="38" t="s">
        <v>547</v>
      </c>
      <c r="B82" s="38" t="s">
        <v>144</v>
      </c>
      <c r="C82" s="38" t="s">
        <v>179</v>
      </c>
      <c r="D82" s="4">
        <f t="shared" si="15"/>
        <v>39</v>
      </c>
      <c r="E82" s="38" t="s">
        <v>1</v>
      </c>
      <c r="F82" s="38">
        <v>0</v>
      </c>
      <c r="G82" s="38" t="s">
        <v>1</v>
      </c>
      <c r="H82" s="38"/>
    </row>
    <row r="83" spans="1:8" x14ac:dyDescent="0.25">
      <c r="A83" s="38" t="s">
        <v>548</v>
      </c>
      <c r="B83" s="38" t="s">
        <v>144</v>
      </c>
      <c r="C83" s="38" t="s">
        <v>180</v>
      </c>
      <c r="D83" s="4">
        <f t="shared" si="15"/>
        <v>39</v>
      </c>
      <c r="E83" s="38" t="s">
        <v>1</v>
      </c>
      <c r="F83" s="38">
        <v>0</v>
      </c>
      <c r="G83" s="38" t="s">
        <v>1</v>
      </c>
      <c r="H83" s="38"/>
    </row>
    <row r="84" spans="1:8" x14ac:dyDescent="0.25">
      <c r="A84" s="38" t="s">
        <v>549</v>
      </c>
      <c r="B84" s="38" t="s">
        <v>144</v>
      </c>
      <c r="C84" s="38" t="s">
        <v>181</v>
      </c>
      <c r="D84" s="4">
        <f t="shared" si="15"/>
        <v>41</v>
      </c>
      <c r="E84" s="38" t="s">
        <v>1</v>
      </c>
      <c r="F84" s="38">
        <v>0</v>
      </c>
      <c r="G84" s="38" t="s">
        <v>1</v>
      </c>
    </row>
    <row r="85" spans="1:8" x14ac:dyDescent="0.25">
      <c r="A85" s="38" t="s">
        <v>550</v>
      </c>
      <c r="B85" s="38" t="s">
        <v>144</v>
      </c>
      <c r="C85" s="38" t="s">
        <v>182</v>
      </c>
      <c r="D85" s="4">
        <f t="shared" si="15"/>
        <v>49</v>
      </c>
      <c r="E85" s="38" t="s">
        <v>1</v>
      </c>
      <c r="F85" s="38">
        <v>0</v>
      </c>
      <c r="G85" s="38" t="s">
        <v>1</v>
      </c>
    </row>
    <row r="86" spans="1:8" x14ac:dyDescent="0.25">
      <c r="A86" s="38" t="s">
        <v>551</v>
      </c>
      <c r="B86" s="38" t="s">
        <v>144</v>
      </c>
      <c r="C86" s="38" t="s">
        <v>183</v>
      </c>
      <c r="D86" s="4">
        <f t="shared" si="15"/>
        <v>35</v>
      </c>
      <c r="E86" s="38" t="s">
        <v>1</v>
      </c>
      <c r="F86" s="38">
        <v>0</v>
      </c>
      <c r="G86" s="38" t="s">
        <v>1</v>
      </c>
    </row>
    <row r="87" spans="1:8" x14ac:dyDescent="0.25">
      <c r="A87" s="38" t="s">
        <v>552</v>
      </c>
      <c r="B87" s="38" t="s">
        <v>144</v>
      </c>
      <c r="C87" s="38" t="s">
        <v>184</v>
      </c>
      <c r="D87" s="4">
        <f t="shared" si="15"/>
        <v>39</v>
      </c>
      <c r="E87" s="38" t="s">
        <v>1</v>
      </c>
      <c r="F87" s="38">
        <v>0</v>
      </c>
      <c r="G87" s="38" t="s">
        <v>1</v>
      </c>
    </row>
    <row r="88" spans="1:8" x14ac:dyDescent="0.25">
      <c r="A88" s="38" t="s">
        <v>553</v>
      </c>
      <c r="B88" s="38" t="s">
        <v>144</v>
      </c>
      <c r="C88" s="38" t="s">
        <v>185</v>
      </c>
      <c r="D88" s="4">
        <f t="shared" si="15"/>
        <v>42</v>
      </c>
      <c r="E88" s="38" t="s">
        <v>1</v>
      </c>
      <c r="F88" s="38">
        <v>0</v>
      </c>
      <c r="G88" s="38" t="s">
        <v>1</v>
      </c>
    </row>
    <row r="89" spans="1:8" x14ac:dyDescent="0.25">
      <c r="A89" s="38" t="s">
        <v>554</v>
      </c>
      <c r="B89" s="38" t="s">
        <v>144</v>
      </c>
      <c r="C89" s="38" t="s">
        <v>186</v>
      </c>
      <c r="D89" s="4">
        <f t="shared" si="15"/>
        <v>31</v>
      </c>
      <c r="E89" s="38" t="s">
        <v>1</v>
      </c>
      <c r="F89" s="38">
        <v>0</v>
      </c>
      <c r="G89" s="38" t="s">
        <v>1</v>
      </c>
    </row>
    <row r="90" spans="1:8" x14ac:dyDescent="0.25">
      <c r="A90" s="38" t="s">
        <v>555</v>
      </c>
      <c r="B90" s="38" t="s">
        <v>144</v>
      </c>
      <c r="C90" s="38" t="s">
        <v>187</v>
      </c>
      <c r="D90" s="4">
        <f t="shared" si="15"/>
        <v>41</v>
      </c>
      <c r="E90" s="38" t="s">
        <v>1</v>
      </c>
      <c r="F90" s="38">
        <v>0</v>
      </c>
      <c r="G90" s="38" t="s">
        <v>1</v>
      </c>
    </row>
    <row r="91" spans="1:8" s="54" customFormat="1" x14ac:dyDescent="0.25">
      <c r="A91" s="55" t="s">
        <v>556</v>
      </c>
      <c r="B91" s="55" t="s">
        <v>144</v>
      </c>
      <c r="C91" s="55" t="s">
        <v>219</v>
      </c>
      <c r="D91" s="4">
        <f t="shared" si="15"/>
        <v>47</v>
      </c>
      <c r="E91" s="55" t="s">
        <v>1</v>
      </c>
      <c r="F91" s="55">
        <v>0</v>
      </c>
      <c r="G91" s="55" t="s">
        <v>1</v>
      </c>
    </row>
    <row r="92" spans="1:8" s="55" customFormat="1" x14ac:dyDescent="0.25">
      <c r="A92" s="56" t="s">
        <v>557</v>
      </c>
      <c r="B92" s="56" t="s">
        <v>144</v>
      </c>
      <c r="C92" s="56" t="s">
        <v>220</v>
      </c>
      <c r="D92" s="4">
        <f t="shared" si="15"/>
        <v>30</v>
      </c>
      <c r="E92" s="56" t="s">
        <v>1</v>
      </c>
      <c r="F92" s="56">
        <v>0</v>
      </c>
      <c r="G92" s="56" t="s">
        <v>1</v>
      </c>
    </row>
    <row r="93" spans="1:8" x14ac:dyDescent="0.25">
      <c r="A93" s="39" t="s">
        <v>143</v>
      </c>
      <c r="B93" s="39" t="s">
        <v>4</v>
      </c>
      <c r="C93" s="39" t="s">
        <v>5</v>
      </c>
      <c r="D93" s="4">
        <f t="shared" si="15"/>
        <v>7</v>
      </c>
      <c r="E93" s="39" t="s">
        <v>6</v>
      </c>
      <c r="F93" s="39" t="s">
        <v>7</v>
      </c>
      <c r="G93" s="39" t="s">
        <v>31</v>
      </c>
      <c r="H93" s="39" t="s">
        <v>39</v>
      </c>
    </row>
    <row r="94" spans="1:8" x14ac:dyDescent="0.25">
      <c r="A94" s="40" t="s">
        <v>558</v>
      </c>
      <c r="B94" s="40" t="s">
        <v>144</v>
      </c>
      <c r="C94" s="40" t="s">
        <v>190</v>
      </c>
      <c r="D94" s="4">
        <f t="shared" si="15"/>
        <v>49</v>
      </c>
      <c r="E94" s="40" t="s">
        <v>1</v>
      </c>
      <c r="F94" s="40">
        <v>0</v>
      </c>
      <c r="G94" s="40" t="s">
        <v>1</v>
      </c>
      <c r="H94" s="40"/>
    </row>
    <row r="95" spans="1:8" x14ac:dyDescent="0.25">
      <c r="A95" s="40" t="s">
        <v>559</v>
      </c>
      <c r="B95" s="40" t="s">
        <v>144</v>
      </c>
      <c r="C95" s="40" t="s">
        <v>191</v>
      </c>
      <c r="D95" s="4">
        <f t="shared" si="15"/>
        <v>41</v>
      </c>
      <c r="E95" s="40" t="s">
        <v>1</v>
      </c>
      <c r="F95" s="40">
        <v>0</v>
      </c>
      <c r="G95" s="40" t="s">
        <v>1</v>
      </c>
      <c r="H95" s="40"/>
    </row>
    <row r="96" spans="1:8" x14ac:dyDescent="0.25">
      <c r="A96" s="40" t="s">
        <v>560</v>
      </c>
      <c r="B96" s="40" t="s">
        <v>144</v>
      </c>
      <c r="C96" s="40" t="s">
        <v>192</v>
      </c>
      <c r="D96" s="4">
        <f t="shared" si="15"/>
        <v>37</v>
      </c>
      <c r="E96" s="40" t="s">
        <v>1</v>
      </c>
      <c r="F96" s="40">
        <v>0</v>
      </c>
      <c r="G96" s="40" t="s">
        <v>1</v>
      </c>
      <c r="H96" s="40"/>
    </row>
    <row r="97" spans="1:13" x14ac:dyDescent="0.25">
      <c r="A97" s="40" t="s">
        <v>561</v>
      </c>
      <c r="B97" s="40" t="s">
        <v>144</v>
      </c>
      <c r="C97" s="40" t="s">
        <v>193</v>
      </c>
      <c r="D97" s="4">
        <f t="shared" si="15"/>
        <v>28</v>
      </c>
      <c r="E97" s="40" t="s">
        <v>1</v>
      </c>
      <c r="F97" s="40">
        <v>0</v>
      </c>
      <c r="G97" s="40" t="s">
        <v>1</v>
      </c>
      <c r="H97" s="40"/>
    </row>
    <row r="98" spans="1:13" x14ac:dyDescent="0.25">
      <c r="A98" s="40" t="s">
        <v>562</v>
      </c>
      <c r="B98" s="40" t="s">
        <v>144</v>
      </c>
      <c r="C98" s="40" t="s">
        <v>194</v>
      </c>
      <c r="D98" s="4">
        <f t="shared" si="15"/>
        <v>26</v>
      </c>
      <c r="E98" s="40" t="s">
        <v>1</v>
      </c>
      <c r="F98" s="40">
        <v>0</v>
      </c>
      <c r="G98" s="40" t="s">
        <v>1</v>
      </c>
      <c r="H98" s="40"/>
    </row>
    <row r="99" spans="1:13" x14ac:dyDescent="0.25">
      <c r="A99" s="40" t="s">
        <v>563</v>
      </c>
      <c r="B99" s="40" t="s">
        <v>144</v>
      </c>
      <c r="C99" s="40" t="s">
        <v>195</v>
      </c>
      <c r="D99" s="4">
        <f t="shared" si="15"/>
        <v>28</v>
      </c>
      <c r="E99" s="40" t="s">
        <v>1</v>
      </c>
      <c r="F99" s="40">
        <v>0</v>
      </c>
      <c r="G99" s="40" t="s">
        <v>1</v>
      </c>
      <c r="H99" s="40"/>
    </row>
    <row r="100" spans="1:13" x14ac:dyDescent="0.25">
      <c r="A100" s="40" t="s">
        <v>564</v>
      </c>
      <c r="B100" s="40" t="s">
        <v>144</v>
      </c>
      <c r="C100" s="40" t="s">
        <v>196</v>
      </c>
      <c r="D100" s="4">
        <f t="shared" si="15"/>
        <v>26</v>
      </c>
      <c r="E100" s="40" t="s">
        <v>1</v>
      </c>
      <c r="F100" s="40">
        <v>0</v>
      </c>
      <c r="G100" s="40" t="s">
        <v>1</v>
      </c>
      <c r="H100" s="40"/>
    </row>
    <row r="101" spans="1:13" x14ac:dyDescent="0.25">
      <c r="A101" s="41" t="s">
        <v>565</v>
      </c>
      <c r="B101" s="41" t="s">
        <v>144</v>
      </c>
      <c r="C101" s="41" t="s">
        <v>197</v>
      </c>
      <c r="D101" s="4">
        <f t="shared" si="15"/>
        <v>39</v>
      </c>
      <c r="E101" s="41" t="s">
        <v>1</v>
      </c>
      <c r="F101" s="41">
        <v>0</v>
      </c>
      <c r="G101" s="41" t="s">
        <v>1</v>
      </c>
    </row>
    <row r="102" spans="1:13" x14ac:dyDescent="0.25">
      <c r="A102" s="42" t="s">
        <v>566</v>
      </c>
      <c r="B102" s="42" t="s">
        <v>144</v>
      </c>
      <c r="C102" s="42" t="s">
        <v>198</v>
      </c>
      <c r="D102" s="4">
        <f t="shared" si="15"/>
        <v>37</v>
      </c>
      <c r="E102" s="42" t="s">
        <v>1</v>
      </c>
      <c r="F102" s="42">
        <v>0</v>
      </c>
      <c r="G102" s="42" t="s">
        <v>1</v>
      </c>
    </row>
    <row r="103" spans="1:13" x14ac:dyDescent="0.25">
      <c r="A103" s="42" t="s">
        <v>567</v>
      </c>
      <c r="B103" s="42" t="s">
        <v>144</v>
      </c>
      <c r="C103" s="42" t="s">
        <v>199</v>
      </c>
      <c r="D103" s="4">
        <f t="shared" si="15"/>
        <v>37</v>
      </c>
      <c r="E103" s="42" t="s">
        <v>1</v>
      </c>
      <c r="F103" s="42">
        <v>0</v>
      </c>
      <c r="G103" s="42" t="s">
        <v>1</v>
      </c>
    </row>
    <row r="104" spans="1:13" x14ac:dyDescent="0.25">
      <c r="A104" s="42" t="s">
        <v>568</v>
      </c>
      <c r="B104" s="42" t="s">
        <v>144</v>
      </c>
      <c r="C104" s="42" t="s">
        <v>200</v>
      </c>
      <c r="D104" s="4">
        <f t="shared" si="15"/>
        <v>39</v>
      </c>
      <c r="E104" s="42" t="s">
        <v>1</v>
      </c>
      <c r="F104" s="42">
        <v>0</v>
      </c>
      <c r="G104" s="42" t="s">
        <v>1</v>
      </c>
    </row>
    <row r="105" spans="1:13" s="48" customFormat="1" x14ac:dyDescent="0.25">
      <c r="A105" s="49" t="s">
        <v>569</v>
      </c>
      <c r="B105" s="49" t="s">
        <v>144</v>
      </c>
      <c r="C105" s="49" t="s">
        <v>209</v>
      </c>
      <c r="D105" s="4">
        <f t="shared" si="15"/>
        <v>44</v>
      </c>
      <c r="E105" s="49" t="s">
        <v>1</v>
      </c>
      <c r="F105" s="49">
        <v>0</v>
      </c>
      <c r="G105" s="49" t="s">
        <v>1</v>
      </c>
    </row>
    <row r="106" spans="1:13" s="48" customFormat="1" x14ac:dyDescent="0.25">
      <c r="A106" s="50" t="s">
        <v>570</v>
      </c>
      <c r="B106" s="50" t="s">
        <v>144</v>
      </c>
      <c r="C106" s="50" t="s">
        <v>210</v>
      </c>
      <c r="D106" s="4">
        <f t="shared" si="15"/>
        <v>44</v>
      </c>
      <c r="E106" s="50" t="s">
        <v>1</v>
      </c>
      <c r="F106" s="50">
        <v>0</v>
      </c>
      <c r="G106" s="50" t="s">
        <v>1</v>
      </c>
    </row>
    <row r="107" spans="1:13" s="48" customFormat="1" x14ac:dyDescent="0.25">
      <c r="A107" s="51" t="s">
        <v>571</v>
      </c>
      <c r="B107" s="51" t="s">
        <v>144</v>
      </c>
      <c r="C107" s="51" t="s">
        <v>211</v>
      </c>
      <c r="D107" s="4">
        <f t="shared" si="15"/>
        <v>38</v>
      </c>
      <c r="E107" s="52" t="s">
        <v>1</v>
      </c>
      <c r="F107" s="52">
        <v>0</v>
      </c>
      <c r="G107" s="52" t="s">
        <v>1</v>
      </c>
    </row>
    <row r="108" spans="1:13" s="48" customFormat="1" x14ac:dyDescent="0.25">
      <c r="A108" s="52" t="s">
        <v>572</v>
      </c>
      <c r="B108" s="52" t="s">
        <v>144</v>
      </c>
      <c r="C108" s="52" t="s">
        <v>212</v>
      </c>
      <c r="D108" s="4">
        <f t="shared" si="15"/>
        <v>37</v>
      </c>
      <c r="E108" s="52" t="s">
        <v>1</v>
      </c>
      <c r="F108" s="52">
        <v>0</v>
      </c>
      <c r="G108" s="52" t="s">
        <v>1</v>
      </c>
    </row>
    <row r="109" spans="1:13" s="52" customFormat="1" x14ac:dyDescent="0.25">
      <c r="A109" s="53" t="s">
        <v>573</v>
      </c>
      <c r="B109" s="53" t="s">
        <v>144</v>
      </c>
      <c r="C109" s="53" t="s">
        <v>213</v>
      </c>
      <c r="D109" s="4">
        <f t="shared" si="15"/>
        <v>44</v>
      </c>
      <c r="E109" s="53" t="s">
        <v>1</v>
      </c>
      <c r="F109" s="53">
        <v>0</v>
      </c>
      <c r="G109" s="53" t="s">
        <v>1</v>
      </c>
    </row>
    <row r="110" spans="1:13" x14ac:dyDescent="0.25">
      <c r="A110" s="43" t="s">
        <v>201</v>
      </c>
      <c r="B110" s="43" t="s">
        <v>4</v>
      </c>
      <c r="C110" s="43" t="s">
        <v>5</v>
      </c>
      <c r="D110" s="4">
        <f t="shared" si="15"/>
        <v>7</v>
      </c>
      <c r="E110" s="43" t="s">
        <v>6</v>
      </c>
      <c r="F110" s="43" t="s">
        <v>7</v>
      </c>
      <c r="G110" s="43" t="s">
        <v>31</v>
      </c>
      <c r="H110" s="43" t="s">
        <v>39</v>
      </c>
    </row>
    <row r="111" spans="1:13" x14ac:dyDescent="0.25">
      <c r="A111" s="44" t="s">
        <v>202</v>
      </c>
      <c r="B111" s="44" t="s">
        <v>144</v>
      </c>
      <c r="C111" s="44" t="s">
        <v>203</v>
      </c>
      <c r="D111" s="4">
        <f t="shared" si="15"/>
        <v>38</v>
      </c>
      <c r="E111" s="44" t="s">
        <v>1</v>
      </c>
      <c r="F111" s="44">
        <v>0</v>
      </c>
      <c r="G111" s="44" t="s">
        <v>1</v>
      </c>
      <c r="H111" s="44"/>
    </row>
    <row r="112" spans="1:13" x14ac:dyDescent="0.25">
      <c r="A112" s="45" t="s">
        <v>204</v>
      </c>
      <c r="B112" s="45" t="s">
        <v>4</v>
      </c>
      <c r="C112" s="45" t="s">
        <v>5</v>
      </c>
      <c r="D112" s="4">
        <f t="shared" si="15"/>
        <v>7</v>
      </c>
      <c r="E112" s="45" t="s">
        <v>39</v>
      </c>
      <c r="F112" s="45"/>
      <c r="G112" s="45"/>
      <c r="H112" s="45"/>
      <c r="I112" s="45"/>
      <c r="J112" s="45"/>
      <c r="K112" s="45"/>
      <c r="L112" s="45"/>
      <c r="M112" s="45"/>
    </row>
    <row r="113" spans="1:13" x14ac:dyDescent="0.25">
      <c r="A113" s="46" t="s">
        <v>205</v>
      </c>
      <c r="B113" s="46" t="s">
        <v>144</v>
      </c>
      <c r="C113" s="46" t="s">
        <v>206</v>
      </c>
      <c r="D113" s="4">
        <f t="shared" si="15"/>
        <v>29</v>
      </c>
      <c r="E113" s="46"/>
      <c r="F113" s="46"/>
      <c r="G113" s="46"/>
      <c r="H113" s="46"/>
      <c r="I113" s="46"/>
      <c r="J113" s="46"/>
      <c r="K113" s="46"/>
      <c r="L113" s="46"/>
      <c r="M113" s="46"/>
    </row>
    <row r="114" spans="1:13" x14ac:dyDescent="0.25">
      <c r="D114" s="4">
        <f t="shared" si="15"/>
        <v>0</v>
      </c>
    </row>
  </sheetData>
  <conditionalFormatting sqref="D3:D4 D74:D114">
    <cfRule type="cellIs" dxfId="174" priority="9" operator="greaterThan">
      <formula>49</formula>
    </cfRule>
  </conditionalFormatting>
  <conditionalFormatting sqref="D6:D29 D31:D34 D36:D37">
    <cfRule type="cellIs" dxfId="173" priority="8" operator="greaterThan">
      <formula>49</formula>
    </cfRule>
  </conditionalFormatting>
  <conditionalFormatting sqref="D42:D45">
    <cfRule type="cellIs" dxfId="172" priority="7" operator="greaterThan">
      <formula>49</formula>
    </cfRule>
  </conditionalFormatting>
  <conditionalFormatting sqref="D47:D67">
    <cfRule type="cellIs" dxfId="171" priority="6" operator="greaterThan">
      <formula>49</formula>
    </cfRule>
  </conditionalFormatting>
  <conditionalFormatting sqref="D69:D73">
    <cfRule type="cellIs" dxfId="170" priority="5" operator="greaterThan">
      <formula>49</formula>
    </cfRule>
  </conditionalFormatting>
  <conditionalFormatting sqref="D30">
    <cfRule type="cellIs" dxfId="169" priority="4" operator="greaterThan">
      <formula>49</formula>
    </cfRule>
  </conditionalFormatting>
  <conditionalFormatting sqref="D35">
    <cfRule type="cellIs" dxfId="168" priority="3" operator="greaterThan">
      <formula>49</formula>
    </cfRule>
  </conditionalFormatting>
  <conditionalFormatting sqref="D38:D40">
    <cfRule type="cellIs" dxfId="167" priority="1" operator="greaterThan">
      <formula>49</formula>
    </cfRule>
  </conditionalFormatting>
  <pageMargins left="0.7" right="0.7" top="0.97222222222222221" bottom="0.75" header="0.3" footer="0.3"/>
  <pageSetup orientation="portrait" r:id="rId1"/>
  <headerFooter>
    <oddHeader>&amp;L&amp;"Times New Roman,Regular"Regional Municipality of Halton  
SCADA Standards Manual Section 6 HMI Programming
Appendix 6A HMI Tag Template&amp;R&amp;"Times New Roman,Regular"SCADA STANDARDS 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60"/>
  <sheetViews>
    <sheetView topLeftCell="A230" zoomScaleNormal="100" workbookViewId="0">
      <selection activeCell="A205" sqref="A205"/>
    </sheetView>
  </sheetViews>
  <sheetFormatPr defaultRowHeight="15" x14ac:dyDescent="0.25"/>
  <cols>
    <col min="1" max="1" width="24.42578125" bestFit="1" customWidth="1"/>
    <col min="2" max="2" width="14.5703125" bestFit="1" customWidth="1"/>
    <col min="3" max="3" width="24.7109375" customWidth="1"/>
    <col min="4" max="4" width="5.5703125" style="4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25.140625" bestFit="1" customWidth="1"/>
    <col min="11" max="12" width="18.140625" bestFit="1" customWidth="1"/>
    <col min="13" max="13" width="22.140625" bestFit="1" customWidth="1"/>
    <col min="14" max="14" width="15" bestFit="1" customWidth="1"/>
    <col min="15" max="15" width="45.42578125" bestFit="1" customWidth="1"/>
    <col min="16" max="16" width="15.42578125" bestFit="1" customWidth="1"/>
    <col min="17" max="17" width="29" customWidth="1"/>
    <col min="18" max="18" width="16.140625" bestFit="1" customWidth="1"/>
    <col min="19" max="19" width="41.7109375" bestFit="1" customWidth="1"/>
    <col min="20" max="20" width="19.140625" bestFit="1" customWidth="1"/>
    <col min="21" max="21" width="15.855468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32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21.85546875" bestFit="1" customWidth="1"/>
    <col min="47" max="47" width="18.140625" bestFit="1" customWidth="1"/>
    <col min="48" max="48" width="34.85546875" bestFit="1" customWidth="1"/>
    <col min="49" max="49" width="14.855468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140625" bestFit="1" customWidth="1"/>
    <col min="54" max="55" width="19.140625" bestFit="1" customWidth="1"/>
    <col min="56" max="56" width="15.855468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140625" bestFit="1" customWidth="1"/>
    <col min="61" max="62" width="19.140625" bestFit="1" customWidth="1"/>
    <col min="63" max="63" width="15.85546875" bestFit="1" customWidth="1"/>
    <col min="64" max="64" width="13.28515625" bestFit="1" customWidth="1"/>
  </cols>
  <sheetData>
    <row r="1" spans="1:23" x14ac:dyDescent="0.25">
      <c r="A1" t="s">
        <v>130</v>
      </c>
      <c r="D1"/>
    </row>
    <row r="2" spans="1:23" x14ac:dyDescent="0.25">
      <c r="A2" t="s">
        <v>3</v>
      </c>
      <c r="B2" t="s">
        <v>4</v>
      </c>
      <c r="C2" t="s">
        <v>5</v>
      </c>
      <c r="D2" s="5" t="s">
        <v>119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t="s">
        <v>14</v>
      </c>
      <c r="N2" t="s">
        <v>15</v>
      </c>
      <c r="O2" t="s">
        <v>16</v>
      </c>
      <c r="P2" t="s">
        <v>17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  <c r="V2" t="s">
        <v>23</v>
      </c>
    </row>
    <row r="3" spans="1:23" x14ac:dyDescent="0.25">
      <c r="A3" s="2" t="s">
        <v>532</v>
      </c>
      <c r="B3" s="2" t="s">
        <v>2</v>
      </c>
      <c r="C3" s="2" t="s">
        <v>28</v>
      </c>
      <c r="D3" s="4">
        <f>LEN(C3)</f>
        <v>12</v>
      </c>
      <c r="E3" t="s">
        <v>0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2" t="s">
        <v>25</v>
      </c>
      <c r="B4" s="2" t="s">
        <v>116</v>
      </c>
      <c r="C4" s="2" t="s">
        <v>117</v>
      </c>
      <c r="D4" s="4">
        <f>LEN(C4)</f>
        <v>25</v>
      </c>
      <c r="E4" t="s">
        <v>0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s="3" t="s">
        <v>533</v>
      </c>
      <c r="B5" s="6" t="str">
        <f>$A$3</f>
        <v>BXX_DEV1_DM1</v>
      </c>
      <c r="C5" s="6" t="str">
        <f>C3 &amp; " Speed"</f>
        <v>Sample Motor Speed</v>
      </c>
      <c r="D5" s="4">
        <f>LEN(C5)</f>
        <v>18</v>
      </c>
      <c r="E5" t="s">
        <v>0</v>
      </c>
      <c r="F5">
        <v>999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23" x14ac:dyDescent="0.25">
      <c r="A6" s="3" t="s">
        <v>534</v>
      </c>
      <c r="B6" s="6" t="str">
        <f>$A$3</f>
        <v>BXX_DEV1_DM1</v>
      </c>
      <c r="C6" s="6" t="str">
        <f>C3 &amp; " Stroke"</f>
        <v>Sample Motor Stroke</v>
      </c>
      <c r="D6" s="4">
        <f>LEN(C6)</f>
        <v>19</v>
      </c>
      <c r="E6" t="s">
        <v>0</v>
      </c>
      <c r="F6">
        <v>999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</row>
    <row r="7" spans="1:23" s="124" customFormat="1" x14ac:dyDescent="0.25">
      <c r="A7" s="126" t="s">
        <v>29</v>
      </c>
      <c r="B7" s="126" t="s">
        <v>4</v>
      </c>
      <c r="C7" s="126" t="s">
        <v>5</v>
      </c>
      <c r="D7" s="4"/>
      <c r="E7" s="127" t="s">
        <v>30</v>
      </c>
      <c r="F7" s="127" t="s">
        <v>6</v>
      </c>
      <c r="G7" s="127" t="s">
        <v>7</v>
      </c>
      <c r="H7" s="127" t="s">
        <v>31</v>
      </c>
      <c r="I7" s="127" t="s">
        <v>32</v>
      </c>
      <c r="J7" s="127" t="s">
        <v>33</v>
      </c>
      <c r="K7" s="127" t="s">
        <v>34</v>
      </c>
      <c r="L7" s="127" t="s">
        <v>35</v>
      </c>
      <c r="M7" s="127" t="s">
        <v>36</v>
      </c>
      <c r="N7" s="127" t="s">
        <v>37</v>
      </c>
      <c r="O7" s="127" t="s">
        <v>38</v>
      </c>
      <c r="P7" s="127" t="s">
        <v>15</v>
      </c>
      <c r="Q7" s="127" t="s">
        <v>23</v>
      </c>
      <c r="R7" s="127" t="s">
        <v>39</v>
      </c>
    </row>
    <row r="8" spans="1:23" x14ac:dyDescent="0.25">
      <c r="A8" s="1" t="s">
        <v>43</v>
      </c>
      <c r="B8" t="s">
        <v>4</v>
      </c>
      <c r="C8" t="s">
        <v>5</v>
      </c>
      <c r="E8" t="s">
        <v>30</v>
      </c>
      <c r="F8" t="s">
        <v>6</v>
      </c>
      <c r="G8" t="s">
        <v>7</v>
      </c>
      <c r="H8" t="s">
        <v>31</v>
      </c>
      <c r="I8" t="s">
        <v>32</v>
      </c>
      <c r="J8" t="s">
        <v>33</v>
      </c>
      <c r="K8" t="s">
        <v>34</v>
      </c>
      <c r="L8" t="s">
        <v>35</v>
      </c>
      <c r="M8" t="s">
        <v>36</v>
      </c>
      <c r="N8" t="s">
        <v>44</v>
      </c>
      <c r="O8" t="s">
        <v>45</v>
      </c>
      <c r="P8" t="s">
        <v>46</v>
      </c>
      <c r="Q8" t="s">
        <v>47</v>
      </c>
      <c r="R8" t="s">
        <v>48</v>
      </c>
      <c r="S8" t="s">
        <v>37</v>
      </c>
      <c r="T8" t="s">
        <v>38</v>
      </c>
      <c r="U8" t="s">
        <v>15</v>
      </c>
      <c r="V8" t="s">
        <v>23</v>
      </c>
      <c r="W8" t="s">
        <v>39</v>
      </c>
    </row>
    <row r="9" spans="1:23" x14ac:dyDescent="0.25">
      <c r="A9" s="6" t="str">
        <f>$A$3&amp;"_"&amp;"DI_AD"</f>
        <v>BXX_DEV1_DM1_DI_AD</v>
      </c>
      <c r="B9" s="6" t="str">
        <f>A4</f>
        <v>BXX_DSAB</v>
      </c>
      <c r="C9" s="6" t="str">
        <f>$C$3 &amp; " Disabled Alarm"</f>
        <v>Sample Motor Disabled Alarm</v>
      </c>
      <c r="D9" s="4">
        <f>LEN(C9)</f>
        <v>27</v>
      </c>
      <c r="E9" t="s">
        <v>1</v>
      </c>
      <c r="F9" t="s">
        <v>1</v>
      </c>
      <c r="G9">
        <v>0</v>
      </c>
      <c r="H9" t="s">
        <v>0</v>
      </c>
      <c r="I9" t="s">
        <v>40</v>
      </c>
      <c r="J9" t="s">
        <v>40</v>
      </c>
      <c r="K9" t="s">
        <v>42</v>
      </c>
      <c r="L9" t="s">
        <v>42</v>
      </c>
      <c r="M9" s="2">
        <v>98</v>
      </c>
      <c r="N9" t="s">
        <v>49</v>
      </c>
      <c r="O9" s="2" t="s">
        <v>2</v>
      </c>
      <c r="P9" t="s">
        <v>1</v>
      </c>
      <c r="Q9" s="6" t="str">
        <f>$A$3&amp;".DI_AD"</f>
        <v>BXX_DEV1_DM1.DI_AD</v>
      </c>
      <c r="R9" t="s">
        <v>1</v>
      </c>
      <c r="S9" s="6" t="str">
        <f t="shared" ref="S9:S40" si="0">C9</f>
        <v>Sample Motor Disabled Alarm</v>
      </c>
      <c r="T9">
        <v>0</v>
      </c>
      <c r="U9">
        <v>0</v>
      </c>
    </row>
    <row r="10" spans="1:23" x14ac:dyDescent="0.25">
      <c r="A10" s="6" t="str">
        <f>$A$3&amp;"_"&amp;"DI_CL"</f>
        <v>BXX_DEV1_DM1_DI_CL</v>
      </c>
      <c r="B10" s="6" t="str">
        <f>$A$3</f>
        <v>BXX_DEV1_DM1</v>
      </c>
      <c r="C10" s="6" t="str">
        <f>$C$3&amp;" Control Mode"</f>
        <v>Sample Motor Control Mode</v>
      </c>
      <c r="D10" s="4">
        <f t="shared" ref="D10:D14" si="1">LEN(C10)</f>
        <v>25</v>
      </c>
      <c r="E10" t="s">
        <v>1</v>
      </c>
      <c r="F10" t="s">
        <v>0</v>
      </c>
      <c r="G10" s="2">
        <v>700</v>
      </c>
      <c r="H10" t="s">
        <v>0</v>
      </c>
      <c r="I10" t="s">
        <v>40</v>
      </c>
      <c r="J10" t="s">
        <v>55</v>
      </c>
      <c r="K10" t="s">
        <v>24</v>
      </c>
      <c r="L10" t="s">
        <v>41</v>
      </c>
      <c r="M10">
        <v>1</v>
      </c>
      <c r="N10" t="s">
        <v>49</v>
      </c>
      <c r="O10" s="6" t="str">
        <f>$O$9</f>
        <v>BXX</v>
      </c>
      <c r="P10" t="s">
        <v>1</v>
      </c>
      <c r="Q10" s="6" t="str">
        <f>$A$3&amp;".DI_CL.eng"</f>
        <v>BXX_DEV1_DM1.DI_CL.eng</v>
      </c>
      <c r="R10" t="s">
        <v>1</v>
      </c>
      <c r="S10" s="6" t="str">
        <f t="shared" si="0"/>
        <v>Sample Motor Control Mode</v>
      </c>
      <c r="T10">
        <v>0</v>
      </c>
      <c r="U10">
        <v>0</v>
      </c>
    </row>
    <row r="11" spans="1:23" x14ac:dyDescent="0.25">
      <c r="A11" s="3" t="str">
        <f>$A$3&amp;"_"&amp;"DI_SK"</f>
        <v>BXX_DEV1_DM1_DI_SK</v>
      </c>
      <c r="B11" s="6" t="str">
        <f>$A$3</f>
        <v>BXX_DEV1_DM1</v>
      </c>
      <c r="C11" s="6" t="str">
        <f>$C$3&amp;" Stroke Control Mode"</f>
        <v>Sample Motor Stroke Control Mode</v>
      </c>
      <c r="D11" s="4">
        <f t="shared" si="1"/>
        <v>32</v>
      </c>
      <c r="E11" t="s">
        <v>1</v>
      </c>
      <c r="F11" t="s">
        <v>0</v>
      </c>
      <c r="G11" s="2">
        <v>700</v>
      </c>
      <c r="H11" t="s">
        <v>0</v>
      </c>
      <c r="I11" t="s">
        <v>40</v>
      </c>
      <c r="J11" t="s">
        <v>55</v>
      </c>
      <c r="K11" t="s">
        <v>24</v>
      </c>
      <c r="L11" t="s">
        <v>41</v>
      </c>
      <c r="M11">
        <v>1</v>
      </c>
      <c r="N11" t="s">
        <v>49</v>
      </c>
      <c r="O11" s="6" t="str">
        <f>$O$9</f>
        <v>BXX</v>
      </c>
      <c r="P11" t="s">
        <v>1</v>
      </c>
      <c r="Q11" s="6" t="str">
        <f>$A$3&amp;".DI_SK.eng"</f>
        <v>BXX_DEV1_DM1.DI_SK.eng</v>
      </c>
      <c r="R11" t="s">
        <v>1</v>
      </c>
      <c r="S11" s="6" t="str">
        <f t="shared" si="0"/>
        <v>Sample Motor Stroke Control Mode</v>
      </c>
      <c r="T11">
        <v>0</v>
      </c>
      <c r="U11">
        <v>0</v>
      </c>
    </row>
    <row r="12" spans="1:23" x14ac:dyDescent="0.25">
      <c r="A12" s="6" t="str">
        <f>$A$3&amp;"_"&amp;"DI_SS"</f>
        <v>BXX_DEV1_DM1_DI_SS</v>
      </c>
      <c r="B12" s="6" t="str">
        <f t="shared" ref="B12:B60" si="2">$A$3</f>
        <v>BXX_DEV1_DM1</v>
      </c>
      <c r="C12" s="6" t="str">
        <f>$C$3&amp;" Running Status"</f>
        <v>Sample Motor Running Status</v>
      </c>
      <c r="D12" s="4">
        <f t="shared" si="1"/>
        <v>27</v>
      </c>
      <c r="E12" t="s">
        <v>0</v>
      </c>
      <c r="F12" t="s">
        <v>0</v>
      </c>
      <c r="G12" s="2">
        <v>700</v>
      </c>
      <c r="H12" t="s">
        <v>0</v>
      </c>
      <c r="I12" t="s">
        <v>40</v>
      </c>
      <c r="J12" t="s">
        <v>127</v>
      </c>
      <c r="K12" t="s">
        <v>57</v>
      </c>
      <c r="L12" t="s">
        <v>41</v>
      </c>
      <c r="M12">
        <v>1</v>
      </c>
      <c r="N12" t="s">
        <v>49</v>
      </c>
      <c r="O12" s="6" t="str">
        <f t="shared" ref="O12:O50" si="3">$O$9</f>
        <v>BXX</v>
      </c>
      <c r="P12" t="s">
        <v>1</v>
      </c>
      <c r="Q12" s="6" t="str">
        <f>$A$3&amp;".DI_SS.eng"</f>
        <v>BXX_DEV1_DM1.DI_SS.eng</v>
      </c>
      <c r="R12" t="s">
        <v>1</v>
      </c>
      <c r="S12" s="6" t="str">
        <f t="shared" si="0"/>
        <v>Sample Motor Running Status</v>
      </c>
      <c r="T12">
        <v>0</v>
      </c>
      <c r="U12">
        <v>0</v>
      </c>
    </row>
    <row r="13" spans="1:23" x14ac:dyDescent="0.25">
      <c r="A13" s="3" t="str">
        <f>$A$3&amp;"_"&amp;"DA_ES"</f>
        <v>BXX_DEV1_DM1_DA_ES</v>
      </c>
      <c r="B13" s="6" t="str">
        <f t="shared" si="2"/>
        <v>BXX_DEV1_DM1</v>
      </c>
      <c r="C13" s="6" t="str">
        <f>$C$3&amp;" E-Stop"</f>
        <v>Sample Motor E-Stop</v>
      </c>
      <c r="D13" s="4">
        <f t="shared" si="1"/>
        <v>19</v>
      </c>
      <c r="E13" t="s">
        <v>1</v>
      </c>
      <c r="F13" t="s">
        <v>1</v>
      </c>
      <c r="G13">
        <v>0</v>
      </c>
      <c r="H13" t="s">
        <v>0</v>
      </c>
      <c r="I13" t="s">
        <v>40</v>
      </c>
      <c r="J13" t="s">
        <v>50</v>
      </c>
      <c r="K13" t="s">
        <v>51</v>
      </c>
      <c r="L13" t="s">
        <v>42</v>
      </c>
      <c r="M13" s="2">
        <v>63</v>
      </c>
      <c r="N13" t="s">
        <v>49</v>
      </c>
      <c r="O13" s="6" t="str">
        <f t="shared" si="3"/>
        <v>BXX</v>
      </c>
      <c r="P13" t="s">
        <v>1</v>
      </c>
      <c r="Q13" s="6" t="str">
        <f>$A$3&amp;".DA_ES.eng"</f>
        <v>BXX_DEV1_DM1.DA_ES.eng</v>
      </c>
      <c r="R13" t="s">
        <v>1</v>
      </c>
      <c r="S13" s="6" t="str">
        <f t="shared" si="0"/>
        <v>Sample Motor E-Stop</v>
      </c>
      <c r="T13">
        <v>0</v>
      </c>
      <c r="U13">
        <v>0</v>
      </c>
    </row>
    <row r="14" spans="1:23" x14ac:dyDescent="0.25">
      <c r="A14" s="3" t="str">
        <f>$A$3&amp;"_"&amp;"DA_RA"</f>
        <v>BXX_DEV1_DM1_DA_RA</v>
      </c>
      <c r="B14" s="6" t="str">
        <f t="shared" si="2"/>
        <v>BXX_DEV1_DM1</v>
      </c>
      <c r="C14" s="6" t="str">
        <f>$C$3&amp;" Overload"</f>
        <v>Sample Motor Overload</v>
      </c>
      <c r="D14" s="4">
        <f t="shared" si="1"/>
        <v>21</v>
      </c>
      <c r="E14" t="s">
        <v>1</v>
      </c>
      <c r="F14" t="s">
        <v>1</v>
      </c>
      <c r="G14">
        <v>0</v>
      </c>
      <c r="H14" t="s">
        <v>0</v>
      </c>
      <c r="I14" t="s">
        <v>40</v>
      </c>
      <c r="J14" t="s">
        <v>50</v>
      </c>
      <c r="K14" t="s">
        <v>51</v>
      </c>
      <c r="L14" t="s">
        <v>42</v>
      </c>
      <c r="M14" s="2">
        <v>63</v>
      </c>
      <c r="N14" t="s">
        <v>49</v>
      </c>
      <c r="O14" s="6" t="str">
        <f t="shared" si="3"/>
        <v>BXX</v>
      </c>
      <c r="P14" t="s">
        <v>1</v>
      </c>
      <c r="Q14" s="6" t="str">
        <f>$A$3&amp;".DA_RA.eng"</f>
        <v>BXX_DEV1_DM1.DA_RA.eng</v>
      </c>
      <c r="R14" t="s">
        <v>1</v>
      </c>
      <c r="S14" s="6" t="str">
        <f t="shared" si="0"/>
        <v>Sample Motor Overload</v>
      </c>
      <c r="T14">
        <v>0</v>
      </c>
      <c r="U14">
        <v>0</v>
      </c>
    </row>
    <row r="15" spans="1:23" x14ac:dyDescent="0.25">
      <c r="A15" s="3" t="str">
        <f>$A$3&amp;"_"&amp;"DA_PL"</f>
        <v>BXX_DEV1_DM1_DA_PL</v>
      </c>
      <c r="B15" s="6" t="str">
        <f t="shared" si="2"/>
        <v>BXX_DEV1_DM1</v>
      </c>
      <c r="C15" s="6" t="str">
        <f>$C$3&amp;" Loss of Pressure"</f>
        <v>Sample Motor Loss of Pressure</v>
      </c>
      <c r="D15" s="4">
        <f t="shared" ref="D15:D65" si="4">LEN(C15)</f>
        <v>29</v>
      </c>
      <c r="E15" t="s">
        <v>1</v>
      </c>
      <c r="F15" t="s">
        <v>1</v>
      </c>
      <c r="G15">
        <v>0</v>
      </c>
      <c r="H15" t="s">
        <v>0</v>
      </c>
      <c r="I15" t="s">
        <v>40</v>
      </c>
      <c r="J15" t="s">
        <v>50</v>
      </c>
      <c r="K15" t="s">
        <v>51</v>
      </c>
      <c r="L15" t="s">
        <v>42</v>
      </c>
      <c r="M15" s="2">
        <v>60</v>
      </c>
      <c r="N15" t="s">
        <v>49</v>
      </c>
      <c r="O15" s="6" t="str">
        <f t="shared" si="3"/>
        <v>BXX</v>
      </c>
      <c r="P15" t="s">
        <v>1</v>
      </c>
      <c r="Q15" s="6" t="str">
        <f>$A$3&amp;".DA_PL.eng"</f>
        <v>BXX_DEV1_DM1.DA_PL.eng</v>
      </c>
      <c r="R15" t="s">
        <v>1</v>
      </c>
      <c r="S15" s="6" t="str">
        <f t="shared" si="0"/>
        <v>Sample Motor Loss of Pressure</v>
      </c>
      <c r="T15">
        <v>0</v>
      </c>
      <c r="U15">
        <v>0</v>
      </c>
    </row>
    <row r="16" spans="1:23" x14ac:dyDescent="0.25">
      <c r="A16" s="3" t="str">
        <f>$A$3&amp;"_"&amp;"DA_PH"</f>
        <v>BXX_DEV1_DM1_DA_PH</v>
      </c>
      <c r="B16" s="6" t="str">
        <f t="shared" si="2"/>
        <v>BXX_DEV1_DM1</v>
      </c>
      <c r="C16" s="6" t="str">
        <f>$C$3&amp;" High Discharge Pressure"</f>
        <v>Sample Motor High Discharge Pressure</v>
      </c>
      <c r="D16" s="4">
        <f t="shared" ref="D16" si="5">LEN(C16)</f>
        <v>36</v>
      </c>
      <c r="E16" t="s">
        <v>1</v>
      </c>
      <c r="F16" t="s">
        <v>1</v>
      </c>
      <c r="G16">
        <v>0</v>
      </c>
      <c r="H16" t="s">
        <v>0</v>
      </c>
      <c r="I16" t="s">
        <v>40</v>
      </c>
      <c r="J16" t="s">
        <v>50</v>
      </c>
      <c r="K16" t="s">
        <v>51</v>
      </c>
      <c r="L16" t="s">
        <v>42</v>
      </c>
      <c r="M16" s="2">
        <v>60</v>
      </c>
      <c r="N16" t="s">
        <v>49</v>
      </c>
      <c r="O16" s="6" t="str">
        <f t="shared" si="3"/>
        <v>BXX</v>
      </c>
      <c r="P16" t="s">
        <v>1</v>
      </c>
      <c r="Q16" s="6" t="str">
        <f>$A$3&amp;".DA_PH.eng"</f>
        <v>BXX_DEV1_DM1.DA_PH.eng</v>
      </c>
      <c r="R16" t="s">
        <v>1</v>
      </c>
      <c r="S16" s="6" t="str">
        <f t="shared" si="0"/>
        <v>Sample Motor High Discharge Pressure</v>
      </c>
      <c r="T16">
        <v>0</v>
      </c>
      <c r="U16">
        <v>0</v>
      </c>
    </row>
    <row r="17" spans="1:21" x14ac:dyDescent="0.25">
      <c r="A17" s="3" t="str">
        <f>$A$3&amp;"_"&amp;"DA_DF"</f>
        <v>BXX_DEV1_DM1_DA_DF</v>
      </c>
      <c r="B17" s="6" t="str">
        <f t="shared" si="2"/>
        <v>BXX_DEV1_DM1</v>
      </c>
      <c r="C17" s="6" t="str">
        <f>$C$3&amp;" Not Ready"</f>
        <v>Sample Motor Not Ready</v>
      </c>
      <c r="D17" s="4">
        <f t="shared" si="4"/>
        <v>22</v>
      </c>
      <c r="E17" t="s">
        <v>1</v>
      </c>
      <c r="F17" t="s">
        <v>1</v>
      </c>
      <c r="G17">
        <v>0</v>
      </c>
      <c r="H17" t="s">
        <v>0</v>
      </c>
      <c r="I17" t="s">
        <v>40</v>
      </c>
      <c r="J17" t="s">
        <v>50</v>
      </c>
      <c r="K17" t="s">
        <v>64</v>
      </c>
      <c r="L17" t="s">
        <v>42</v>
      </c>
      <c r="M17" s="2">
        <v>95</v>
      </c>
      <c r="N17" t="s">
        <v>49</v>
      </c>
      <c r="O17" s="6" t="str">
        <f t="shared" si="3"/>
        <v>BXX</v>
      </c>
      <c r="P17" t="s">
        <v>1</v>
      </c>
      <c r="Q17" s="6" t="str">
        <f>$A$3&amp;".DA_DF.eng"</f>
        <v>BXX_DEV1_DM1.DA_DF.eng</v>
      </c>
      <c r="R17" t="s">
        <v>1</v>
      </c>
      <c r="S17" s="6" t="str">
        <f t="shared" si="0"/>
        <v>Sample Motor Not Ready</v>
      </c>
      <c r="T17">
        <v>0</v>
      </c>
      <c r="U17">
        <v>0</v>
      </c>
    </row>
    <row r="18" spans="1:21" x14ac:dyDescent="0.25">
      <c r="A18" s="3" t="str">
        <f>$A$3&amp;"_"&amp;"DA_MA"</f>
        <v>BXX_DEV1_DM1_DA_MA</v>
      </c>
      <c r="B18" s="6" t="str">
        <f t="shared" si="2"/>
        <v>BXX_DEV1_DM1</v>
      </c>
      <c r="C18" s="6" t="str">
        <f>$C$3&amp;" Loss of Prime"</f>
        <v>Sample Motor Loss of Prime</v>
      </c>
      <c r="D18" s="4">
        <f t="shared" ref="D18" si="6">LEN(C18)</f>
        <v>26</v>
      </c>
      <c r="E18" t="s">
        <v>1</v>
      </c>
      <c r="F18" t="s">
        <v>1</v>
      </c>
      <c r="G18">
        <v>0</v>
      </c>
      <c r="H18" t="s">
        <v>0</v>
      </c>
      <c r="I18" t="s">
        <v>40</v>
      </c>
      <c r="J18" t="s">
        <v>50</v>
      </c>
      <c r="K18" t="s">
        <v>51</v>
      </c>
      <c r="L18" t="s">
        <v>42</v>
      </c>
      <c r="M18" s="2">
        <v>95</v>
      </c>
      <c r="N18" t="s">
        <v>49</v>
      </c>
      <c r="O18" s="6" t="str">
        <f t="shared" si="3"/>
        <v>BXX</v>
      </c>
      <c r="P18" t="s">
        <v>1</v>
      </c>
      <c r="Q18" s="6" t="str">
        <f>$A$3&amp;".DA_MA.eng"</f>
        <v>BXX_DEV1_DM1.DA_MA.eng</v>
      </c>
      <c r="R18" t="s">
        <v>1</v>
      </c>
      <c r="S18" s="6" t="str">
        <f t="shared" si="0"/>
        <v>Sample Motor Loss of Prime</v>
      </c>
      <c r="T18">
        <v>0</v>
      </c>
      <c r="U18">
        <v>0</v>
      </c>
    </row>
    <row r="19" spans="1:21" x14ac:dyDescent="0.25">
      <c r="A19" s="3" t="str">
        <f>$A$3&amp;"_"&amp;"DA_VM"</f>
        <v>BXX_DEV1_DM1_DA_VM</v>
      </c>
      <c r="B19" s="6" t="str">
        <f t="shared" si="2"/>
        <v>BXX_DEV1_DM1</v>
      </c>
      <c r="C19" s="6" t="str">
        <f>$C$3&amp;" Vacuum Alarm"</f>
        <v>Sample Motor Vacuum Alarm</v>
      </c>
      <c r="D19" s="4">
        <f t="shared" ref="D19" si="7">LEN(C19)</f>
        <v>25</v>
      </c>
      <c r="E19" t="s">
        <v>1</v>
      </c>
      <c r="F19" t="s">
        <v>1</v>
      </c>
      <c r="G19">
        <v>0</v>
      </c>
      <c r="H19" t="s">
        <v>0</v>
      </c>
      <c r="I19" t="s">
        <v>40</v>
      </c>
      <c r="J19" t="s">
        <v>50</v>
      </c>
      <c r="K19" t="s">
        <v>51</v>
      </c>
      <c r="L19" t="s">
        <v>42</v>
      </c>
      <c r="M19" s="2">
        <v>95</v>
      </c>
      <c r="N19" t="s">
        <v>49</v>
      </c>
      <c r="O19" s="6" t="str">
        <f t="shared" si="3"/>
        <v>BXX</v>
      </c>
      <c r="P19" t="s">
        <v>1</v>
      </c>
      <c r="Q19" s="6" t="str">
        <f>$A$3&amp;".DA_VA.eng"</f>
        <v>BXX_DEV1_DM1.DA_VA.eng</v>
      </c>
      <c r="R19" t="s">
        <v>1</v>
      </c>
      <c r="S19" s="6" t="str">
        <f t="shared" si="0"/>
        <v>Sample Motor Vacuum Alarm</v>
      </c>
      <c r="T19">
        <v>0</v>
      </c>
      <c r="U19">
        <v>0</v>
      </c>
    </row>
    <row r="20" spans="1:21" x14ac:dyDescent="0.25">
      <c r="A20" s="3" t="str">
        <f>$A$3&amp;"_"&amp;"DA_GA"</f>
        <v>BXX_DEV1_DM1_DA_GA</v>
      </c>
      <c r="B20" s="6" t="str">
        <f t="shared" si="2"/>
        <v>BXX_DEV1_DM1</v>
      </c>
      <c r="C20" s="2" t="str">
        <f>$C$3&amp;" Soft Starter/VFD Fault"</f>
        <v>Sample Motor Soft Starter/VFD Fault</v>
      </c>
      <c r="D20" s="4">
        <f t="shared" ref="D20:D22" si="8">LEN(C20)</f>
        <v>35</v>
      </c>
      <c r="E20" t="s">
        <v>1</v>
      </c>
      <c r="F20" t="s">
        <v>1</v>
      </c>
      <c r="G20">
        <v>0</v>
      </c>
      <c r="H20" t="s">
        <v>0</v>
      </c>
      <c r="I20" t="s">
        <v>40</v>
      </c>
      <c r="J20" t="s">
        <v>50</v>
      </c>
      <c r="K20" t="s">
        <v>51</v>
      </c>
      <c r="L20" t="s">
        <v>42</v>
      </c>
      <c r="M20" s="2">
        <v>95</v>
      </c>
      <c r="N20" t="s">
        <v>49</v>
      </c>
      <c r="O20" s="6" t="str">
        <f t="shared" si="3"/>
        <v>BXX</v>
      </c>
      <c r="P20" t="s">
        <v>1</v>
      </c>
      <c r="Q20" s="6" t="str">
        <f>$A$3&amp;".DA_GA.eng"</f>
        <v>BXX_DEV1_DM1.DA_GA.eng</v>
      </c>
      <c r="R20" t="s">
        <v>1</v>
      </c>
      <c r="S20" s="6" t="str">
        <f t="shared" si="0"/>
        <v>Sample Motor Soft Starter/VFD Fault</v>
      </c>
      <c r="T20">
        <v>0</v>
      </c>
      <c r="U20">
        <v>0</v>
      </c>
    </row>
    <row r="21" spans="1:21" x14ac:dyDescent="0.25">
      <c r="A21" s="3" t="str">
        <f>$A$3&amp;"_"&amp;"DA_HA"</f>
        <v>BXX_DEV1_DM1_DA_HA</v>
      </c>
      <c r="B21" s="6" t="str">
        <f t="shared" si="2"/>
        <v>BXX_DEV1_DM1</v>
      </c>
      <c r="C21" s="6" t="str">
        <f>$C$3&amp;" Overtorque"</f>
        <v>Sample Motor Overtorque</v>
      </c>
      <c r="D21" s="4">
        <f t="shared" ref="D21" si="9">LEN(C21)</f>
        <v>23</v>
      </c>
      <c r="E21" t="s">
        <v>1</v>
      </c>
      <c r="F21" t="s">
        <v>1</v>
      </c>
      <c r="G21">
        <v>0</v>
      </c>
      <c r="H21" t="s">
        <v>0</v>
      </c>
      <c r="I21" t="s">
        <v>40</v>
      </c>
      <c r="J21" t="s">
        <v>50</v>
      </c>
      <c r="K21" t="s">
        <v>51</v>
      </c>
      <c r="L21" t="s">
        <v>42</v>
      </c>
      <c r="M21" s="2">
        <v>95</v>
      </c>
      <c r="N21" t="s">
        <v>49</v>
      </c>
      <c r="O21" s="6" t="str">
        <f t="shared" si="3"/>
        <v>BXX</v>
      </c>
      <c r="P21" t="s">
        <v>1</v>
      </c>
      <c r="Q21" s="6" t="str">
        <f>$A$3&amp;".DA_HA.eng"</f>
        <v>BXX_DEV1_DM1.DA_HA.eng</v>
      </c>
      <c r="R21" t="s">
        <v>1</v>
      </c>
      <c r="S21" s="6" t="str">
        <f t="shared" si="0"/>
        <v>Sample Motor Overtorque</v>
      </c>
      <c r="T21">
        <v>0</v>
      </c>
      <c r="U21">
        <v>0</v>
      </c>
    </row>
    <row r="22" spans="1:21" x14ac:dyDescent="0.25">
      <c r="A22" s="3" t="str">
        <f>$A$3&amp;"_"&amp;"DA_BT"</f>
        <v>BXX_DEV1_DM1_DA_BT</v>
      </c>
      <c r="B22" s="6" t="str">
        <f t="shared" si="2"/>
        <v>BXX_DEV1_DM1</v>
      </c>
      <c r="C22" s="6" t="str">
        <f>$C$3&amp;" Bearing Temperature"</f>
        <v>Sample Motor Bearing Temperature</v>
      </c>
      <c r="D22" s="4">
        <f t="shared" si="8"/>
        <v>32</v>
      </c>
      <c r="E22" t="s">
        <v>1</v>
      </c>
      <c r="F22" t="s">
        <v>1</v>
      </c>
      <c r="G22">
        <v>0</v>
      </c>
      <c r="H22" t="s">
        <v>0</v>
      </c>
      <c r="I22" t="s">
        <v>40</v>
      </c>
      <c r="J22" t="s">
        <v>50</v>
      </c>
      <c r="K22" t="s">
        <v>51</v>
      </c>
      <c r="L22" t="s">
        <v>42</v>
      </c>
      <c r="M22" s="2">
        <v>95</v>
      </c>
      <c r="N22" t="s">
        <v>49</v>
      </c>
      <c r="O22" s="6" t="str">
        <f t="shared" si="3"/>
        <v>BXX</v>
      </c>
      <c r="P22" t="s">
        <v>1</v>
      </c>
      <c r="Q22" s="6" t="str">
        <f>$A$3&amp;".DA_BT.eng"</f>
        <v>BXX_DEV1_DM1.DA_BT.eng</v>
      </c>
      <c r="R22" t="s">
        <v>1</v>
      </c>
      <c r="S22" s="6" t="str">
        <f t="shared" si="0"/>
        <v>Sample Motor Bearing Temperature</v>
      </c>
      <c r="T22">
        <v>0</v>
      </c>
      <c r="U22">
        <v>0</v>
      </c>
    </row>
    <row r="23" spans="1:21" x14ac:dyDescent="0.25">
      <c r="A23" s="3" t="str">
        <f>$A$3&amp;"_"&amp;"DA_WA"</f>
        <v>BXX_DEV1_DM1_DA_WA</v>
      </c>
      <c r="B23" s="6" t="str">
        <f t="shared" si="2"/>
        <v>BXX_DEV1_DM1</v>
      </c>
      <c r="C23" s="6" t="str">
        <f>$C$3&amp;" Winding Temperature"</f>
        <v>Sample Motor Winding Temperature</v>
      </c>
      <c r="D23" s="4">
        <f t="shared" ref="D23:D25" si="10">LEN(C23)</f>
        <v>32</v>
      </c>
      <c r="E23" t="s">
        <v>1</v>
      </c>
      <c r="F23" t="s">
        <v>1</v>
      </c>
      <c r="G23">
        <v>0</v>
      </c>
      <c r="H23" t="s">
        <v>0</v>
      </c>
      <c r="I23" t="s">
        <v>40</v>
      </c>
      <c r="J23" t="s">
        <v>50</v>
      </c>
      <c r="K23" t="s">
        <v>51</v>
      </c>
      <c r="L23" t="s">
        <v>42</v>
      </c>
      <c r="M23" s="2">
        <v>95</v>
      </c>
      <c r="N23" t="s">
        <v>49</v>
      </c>
      <c r="O23" s="6" t="str">
        <f t="shared" si="3"/>
        <v>BXX</v>
      </c>
      <c r="P23" t="s">
        <v>1</v>
      </c>
      <c r="Q23" s="6" t="str">
        <f>$A$3&amp;".DA_WA.eng"</f>
        <v>BXX_DEV1_DM1.DA_WA.eng</v>
      </c>
      <c r="R23" t="s">
        <v>1</v>
      </c>
      <c r="S23" s="6" t="str">
        <f t="shared" si="0"/>
        <v>Sample Motor Winding Temperature</v>
      </c>
      <c r="T23">
        <v>0</v>
      </c>
      <c r="U23">
        <v>0</v>
      </c>
    </row>
    <row r="24" spans="1:21" x14ac:dyDescent="0.25">
      <c r="A24" s="3" t="str">
        <f>$A$3&amp;"_"&amp;"DA_TH"</f>
        <v>BXX_DEV1_DM1_DA_TH</v>
      </c>
      <c r="B24" s="6" t="str">
        <f t="shared" si="2"/>
        <v>BXX_DEV1_DM1</v>
      </c>
      <c r="C24" s="6" t="str">
        <f>$C$3&amp;" High Temperature"</f>
        <v>Sample Motor High Temperature</v>
      </c>
      <c r="D24" s="4">
        <f t="shared" si="10"/>
        <v>29</v>
      </c>
      <c r="E24" t="s">
        <v>1</v>
      </c>
      <c r="F24" t="s">
        <v>1</v>
      </c>
      <c r="G24">
        <v>0</v>
      </c>
      <c r="H24" t="s">
        <v>0</v>
      </c>
      <c r="I24" t="s">
        <v>40</v>
      </c>
      <c r="J24" t="s">
        <v>50</v>
      </c>
      <c r="K24" t="s">
        <v>51</v>
      </c>
      <c r="L24" t="s">
        <v>42</v>
      </c>
      <c r="M24" s="2">
        <v>95</v>
      </c>
      <c r="N24" t="s">
        <v>49</v>
      </c>
      <c r="O24" s="6" t="str">
        <f t="shared" si="3"/>
        <v>BXX</v>
      </c>
      <c r="P24" t="s">
        <v>1</v>
      </c>
      <c r="Q24" s="6" t="str">
        <f>$A$3&amp;".DA_TH.eng"</f>
        <v>BXX_DEV1_DM1.DA_TH.eng</v>
      </c>
      <c r="R24" t="s">
        <v>1</v>
      </c>
      <c r="S24" s="6" t="str">
        <f t="shared" si="0"/>
        <v>Sample Motor High Temperature</v>
      </c>
      <c r="T24">
        <v>0</v>
      </c>
      <c r="U24">
        <v>0</v>
      </c>
    </row>
    <row r="25" spans="1:21" x14ac:dyDescent="0.25">
      <c r="A25" s="3" t="str">
        <f>$A$3&amp;"_"&amp;"DA_TA"</f>
        <v>BXX_DEV1_DM1_DA_TA</v>
      </c>
      <c r="B25" s="6" t="str">
        <f t="shared" si="2"/>
        <v>BXX_DEV1_DM1</v>
      </c>
      <c r="C25" s="6" t="str">
        <f>$C$3&amp;" Temp/Leak Alarm"</f>
        <v>Sample Motor Temp/Leak Alarm</v>
      </c>
      <c r="D25" s="4">
        <f t="shared" si="10"/>
        <v>28</v>
      </c>
      <c r="E25" t="s">
        <v>1</v>
      </c>
      <c r="F25" t="s">
        <v>1</v>
      </c>
      <c r="G25">
        <v>0</v>
      </c>
      <c r="H25" t="s">
        <v>0</v>
      </c>
      <c r="I25" t="s">
        <v>40</v>
      </c>
      <c r="J25" t="s">
        <v>50</v>
      </c>
      <c r="K25" t="s">
        <v>51</v>
      </c>
      <c r="L25" t="s">
        <v>42</v>
      </c>
      <c r="M25" s="2">
        <v>95</v>
      </c>
      <c r="N25" t="s">
        <v>49</v>
      </c>
      <c r="O25" s="6" t="str">
        <f t="shared" si="3"/>
        <v>BXX</v>
      </c>
      <c r="P25" t="s">
        <v>1</v>
      </c>
      <c r="Q25" s="6" t="str">
        <f>$A$3&amp;".DA_TA.eng"</f>
        <v>BXX_DEV1_DM1.DA_TA.eng</v>
      </c>
      <c r="R25" t="s">
        <v>1</v>
      </c>
      <c r="S25" s="6" t="str">
        <f t="shared" si="0"/>
        <v>Sample Motor Temp/Leak Alarm</v>
      </c>
      <c r="T25">
        <v>0</v>
      </c>
      <c r="U25">
        <v>0</v>
      </c>
    </row>
    <row r="26" spans="1:21" x14ac:dyDescent="0.25">
      <c r="A26" s="3" t="str">
        <f>$A$3&amp;"_"&amp;"DA_FA"</f>
        <v>BXX_DEV1_DM1_DA_FA</v>
      </c>
      <c r="B26" s="6" t="str">
        <f t="shared" si="2"/>
        <v>BXX_DEV1_DM1</v>
      </c>
      <c r="C26" s="6" t="str">
        <f>$C$3&amp;" No Flow"</f>
        <v>Sample Motor No Flow</v>
      </c>
      <c r="D26" s="4">
        <f t="shared" ref="D26" si="11">LEN(C26)</f>
        <v>20</v>
      </c>
      <c r="E26" t="s">
        <v>1</v>
      </c>
      <c r="F26" t="s">
        <v>1</v>
      </c>
      <c r="G26">
        <v>0</v>
      </c>
      <c r="H26" t="s">
        <v>0</v>
      </c>
      <c r="I26" t="s">
        <v>40</v>
      </c>
      <c r="J26" t="s">
        <v>50</v>
      </c>
      <c r="K26" t="s">
        <v>51</v>
      </c>
      <c r="L26" t="s">
        <v>42</v>
      </c>
      <c r="M26" s="2">
        <v>95</v>
      </c>
      <c r="N26" t="s">
        <v>49</v>
      </c>
      <c r="O26" s="6" t="str">
        <f t="shared" si="3"/>
        <v>BXX</v>
      </c>
      <c r="P26" t="s">
        <v>1</v>
      </c>
      <c r="Q26" s="6" t="str">
        <f>$A$3&amp;".DA_FA.eng"</f>
        <v>BXX_DEV1_DM1.DA_FA.eng</v>
      </c>
      <c r="R26" t="s">
        <v>1</v>
      </c>
      <c r="S26" s="6" t="str">
        <f t="shared" si="0"/>
        <v>Sample Motor No Flow</v>
      </c>
      <c r="T26">
        <v>0</v>
      </c>
      <c r="U26">
        <v>0</v>
      </c>
    </row>
    <row r="27" spans="1:21" x14ac:dyDescent="0.25">
      <c r="A27" s="6" t="str">
        <f>$A$3&amp;"_"&amp;"DI_AA"</f>
        <v>BXX_DEV1_DM1_DI_AA</v>
      </c>
      <c r="B27" s="6" t="str">
        <f t="shared" si="2"/>
        <v>BXX_DEV1_DM1</v>
      </c>
      <c r="C27" s="6" t="str">
        <f>$C$3&amp;" Auto Mode"</f>
        <v>Sample Motor Auto Mode</v>
      </c>
      <c r="D27" s="4">
        <f t="shared" si="4"/>
        <v>22</v>
      </c>
      <c r="E27" t="s">
        <v>1</v>
      </c>
      <c r="F27" t="s">
        <v>0</v>
      </c>
      <c r="G27" s="2">
        <v>700</v>
      </c>
      <c r="H27" t="s">
        <v>0</v>
      </c>
      <c r="I27" t="s">
        <v>40</v>
      </c>
      <c r="J27" t="s">
        <v>61</v>
      </c>
      <c r="K27" t="s">
        <v>62</v>
      </c>
      <c r="L27" t="s">
        <v>41</v>
      </c>
      <c r="M27">
        <v>1</v>
      </c>
      <c r="N27" t="s">
        <v>49</v>
      </c>
      <c r="O27" s="6" t="str">
        <f t="shared" si="3"/>
        <v>BXX</v>
      </c>
      <c r="P27" t="s">
        <v>1</v>
      </c>
      <c r="Q27" s="6" t="str">
        <f>$A$3&amp;".DI_AA"</f>
        <v>BXX_DEV1_DM1.DI_AA</v>
      </c>
      <c r="R27" t="s">
        <v>1</v>
      </c>
      <c r="S27" s="6" t="str">
        <f t="shared" si="0"/>
        <v>Sample Motor Auto Mode</v>
      </c>
      <c r="T27">
        <v>0</v>
      </c>
      <c r="U27">
        <v>0</v>
      </c>
    </row>
    <row r="28" spans="1:21" x14ac:dyDescent="0.25">
      <c r="A28" s="3" t="str">
        <f>$A$3&amp;"_"&amp;"DI_AS"</f>
        <v>BXX_DEV1_DM1_DI_AS</v>
      </c>
      <c r="B28" s="6" t="str">
        <f t="shared" si="2"/>
        <v>BXX_DEV1_DM1</v>
      </c>
      <c r="C28" s="6" t="str">
        <f>$C$3&amp;" Auto Stroke"</f>
        <v>Sample Motor Auto Stroke</v>
      </c>
      <c r="D28" s="4">
        <f t="shared" ref="D28" si="12">LEN(C28)</f>
        <v>24</v>
      </c>
      <c r="E28" t="s">
        <v>1</v>
      </c>
      <c r="F28" t="s">
        <v>0</v>
      </c>
      <c r="G28" s="2">
        <v>700</v>
      </c>
      <c r="H28" t="s">
        <v>0</v>
      </c>
      <c r="I28" t="s">
        <v>40</v>
      </c>
      <c r="J28" t="s">
        <v>61</v>
      </c>
      <c r="K28" t="s">
        <v>62</v>
      </c>
      <c r="L28" t="s">
        <v>41</v>
      </c>
      <c r="M28">
        <v>1</v>
      </c>
      <c r="N28" t="s">
        <v>49</v>
      </c>
      <c r="O28" s="6" t="str">
        <f t="shared" si="3"/>
        <v>BXX</v>
      </c>
      <c r="P28" t="s">
        <v>1</v>
      </c>
      <c r="Q28" s="6" t="str">
        <f>$A$3&amp;".DI_AS"</f>
        <v>BXX_DEV1_DM1.DI_AS</v>
      </c>
      <c r="R28" t="s">
        <v>1</v>
      </c>
      <c r="S28" s="6" t="str">
        <f t="shared" si="0"/>
        <v>Sample Motor Auto Stroke</v>
      </c>
      <c r="T28">
        <v>0</v>
      </c>
      <c r="U28">
        <v>0</v>
      </c>
    </row>
    <row r="29" spans="1:21" x14ac:dyDescent="0.25">
      <c r="A29" s="6" t="str">
        <f>$A$3&amp;"_"&amp;"DI_PM"</f>
        <v>BXX_DEV1_DM1_DI_PM</v>
      </c>
      <c r="B29" s="6" t="str">
        <f t="shared" si="2"/>
        <v>BXX_DEV1_DM1</v>
      </c>
      <c r="C29" s="6" t="str">
        <f>$C$3&amp;" Plant Manual Mode"</f>
        <v>Sample Motor Plant Manual Mode</v>
      </c>
      <c r="D29" s="4">
        <f t="shared" si="4"/>
        <v>30</v>
      </c>
      <c r="E29" t="s">
        <v>1</v>
      </c>
      <c r="F29" t="s">
        <v>0</v>
      </c>
      <c r="G29" s="2">
        <v>700</v>
      </c>
      <c r="H29" t="s">
        <v>0</v>
      </c>
      <c r="I29" t="s">
        <v>40</v>
      </c>
      <c r="J29" t="s">
        <v>62</v>
      </c>
      <c r="K29" t="s">
        <v>61</v>
      </c>
      <c r="L29" t="s">
        <v>41</v>
      </c>
      <c r="M29">
        <v>1</v>
      </c>
      <c r="N29" t="s">
        <v>49</v>
      </c>
      <c r="O29" s="6" t="str">
        <f t="shared" si="3"/>
        <v>BXX</v>
      </c>
      <c r="P29" t="s">
        <v>1</v>
      </c>
      <c r="Q29" s="6" t="str">
        <f>$A$3&amp;".DI_PM"</f>
        <v>BXX_DEV1_DM1.DI_PM</v>
      </c>
      <c r="R29" t="s">
        <v>1</v>
      </c>
      <c r="S29" s="6" t="str">
        <f t="shared" si="0"/>
        <v>Sample Motor Plant Manual Mode</v>
      </c>
      <c r="T29">
        <v>0</v>
      </c>
      <c r="U29">
        <v>0</v>
      </c>
    </row>
    <row r="30" spans="1:21" x14ac:dyDescent="0.25">
      <c r="A30" s="3" t="str">
        <f>$A$3&amp;"_"&amp;"DI_MS"</f>
        <v>BXX_DEV1_DM1_DI_MS</v>
      </c>
      <c r="B30" s="6" t="str">
        <f t="shared" si="2"/>
        <v>BXX_DEV1_DM1</v>
      </c>
      <c r="C30" s="6" t="str">
        <f>$C$3&amp;" Plant Manual Stroke"</f>
        <v>Sample Motor Plant Manual Stroke</v>
      </c>
      <c r="D30" s="4">
        <f t="shared" ref="D30" si="13">LEN(C30)</f>
        <v>32</v>
      </c>
      <c r="E30" t="s">
        <v>1</v>
      </c>
      <c r="F30" t="s">
        <v>0</v>
      </c>
      <c r="G30" s="2">
        <v>700</v>
      </c>
      <c r="H30" t="s">
        <v>0</v>
      </c>
      <c r="I30" t="s">
        <v>40</v>
      </c>
      <c r="J30" t="s">
        <v>62</v>
      </c>
      <c r="K30" t="s">
        <v>61</v>
      </c>
      <c r="L30" t="s">
        <v>41</v>
      </c>
      <c r="M30">
        <v>1</v>
      </c>
      <c r="N30" t="s">
        <v>49</v>
      </c>
      <c r="O30" s="6" t="str">
        <f t="shared" si="3"/>
        <v>BXX</v>
      </c>
      <c r="P30" t="s">
        <v>1</v>
      </c>
      <c r="Q30" s="6" t="str">
        <f>$A$3&amp;".DI_MS"</f>
        <v>BXX_DEV1_DM1.DI_MS</v>
      </c>
      <c r="R30" t="s">
        <v>1</v>
      </c>
      <c r="S30" s="6" t="str">
        <f t="shared" si="0"/>
        <v>Sample Motor Plant Manual Stroke</v>
      </c>
      <c r="T30">
        <v>0</v>
      </c>
      <c r="U30">
        <v>0</v>
      </c>
    </row>
    <row r="31" spans="1:21" x14ac:dyDescent="0.25">
      <c r="A31" s="3" t="str">
        <f>$A$3&amp;"_"&amp;"DI_OF"</f>
        <v>BXX_DEV1_DM1_DI_OF</v>
      </c>
      <c r="B31" s="6" t="str">
        <f t="shared" si="2"/>
        <v>BXX_DEV1_DM1</v>
      </c>
      <c r="C31" s="6" t="str">
        <f>$C$3&amp;" On Backup Control"</f>
        <v>Sample Motor On Backup Control</v>
      </c>
      <c r="D31" s="4">
        <f t="shared" ref="D31" si="14">LEN(C31)</f>
        <v>30</v>
      </c>
      <c r="E31" t="s">
        <v>1</v>
      </c>
      <c r="F31" t="s">
        <v>0</v>
      </c>
      <c r="G31" s="2">
        <v>700</v>
      </c>
      <c r="H31" t="s">
        <v>0</v>
      </c>
      <c r="I31" t="s">
        <v>40</v>
      </c>
      <c r="J31" t="s">
        <v>50</v>
      </c>
      <c r="K31" t="s">
        <v>128</v>
      </c>
      <c r="L31" t="s">
        <v>41</v>
      </c>
      <c r="M31">
        <v>1</v>
      </c>
      <c r="N31" t="s">
        <v>49</v>
      </c>
      <c r="O31" s="6" t="str">
        <f t="shared" si="3"/>
        <v>BXX</v>
      </c>
      <c r="P31" t="s">
        <v>1</v>
      </c>
      <c r="Q31" s="6" t="str">
        <f>$A$3&amp;".DI_OF.eng"</f>
        <v>BXX_DEV1_DM1.DI_OF.eng</v>
      </c>
      <c r="R31" t="s">
        <v>1</v>
      </c>
      <c r="S31" s="6" t="str">
        <f t="shared" si="0"/>
        <v>Sample Motor On Backup Control</v>
      </c>
      <c r="T31">
        <v>0</v>
      </c>
      <c r="U31">
        <v>0</v>
      </c>
    </row>
    <row r="32" spans="1:21" x14ac:dyDescent="0.25">
      <c r="A32" s="6" t="str">
        <f>$A$3&amp;"_"&amp;"PB_PM"</f>
        <v>BXX_DEV1_DM1_PB_PM</v>
      </c>
      <c r="B32" s="6" t="str">
        <f t="shared" si="2"/>
        <v>BXX_DEV1_DM1</v>
      </c>
      <c r="C32" s="6" t="str">
        <f>$C$3&amp;" Plant Manual Mode RQ"</f>
        <v>Sample Motor Plant Manual Mode RQ</v>
      </c>
      <c r="D32" s="4">
        <f t="shared" si="4"/>
        <v>33</v>
      </c>
      <c r="E32" t="s">
        <v>1</v>
      </c>
      <c r="F32" t="s">
        <v>0</v>
      </c>
      <c r="G32" s="2">
        <v>600</v>
      </c>
      <c r="H32" t="s">
        <v>0</v>
      </c>
      <c r="I32" t="s">
        <v>40</v>
      </c>
      <c r="J32" t="s">
        <v>50</v>
      </c>
      <c r="K32" t="s">
        <v>42</v>
      </c>
      <c r="L32" t="s">
        <v>41</v>
      </c>
      <c r="M32">
        <v>1</v>
      </c>
      <c r="N32" t="s">
        <v>49</v>
      </c>
      <c r="O32" s="6" t="str">
        <f t="shared" si="3"/>
        <v>BXX</v>
      </c>
      <c r="P32" t="s">
        <v>1</v>
      </c>
      <c r="Q32" s="6" t="str">
        <f>$A$3&amp;".PB_PM"</f>
        <v>BXX_DEV1_DM1.PB_PM</v>
      </c>
      <c r="R32" t="s">
        <v>1</v>
      </c>
      <c r="S32" s="6" t="str">
        <f t="shared" si="0"/>
        <v>Sample Motor Plant Manual Mode RQ</v>
      </c>
      <c r="T32">
        <v>0</v>
      </c>
      <c r="U32">
        <v>0</v>
      </c>
    </row>
    <row r="33" spans="1:21" x14ac:dyDescent="0.25">
      <c r="A33" s="3" t="str">
        <f>$A$3&amp;"_"&amp;"PB_MS"</f>
        <v>BXX_DEV1_DM1_PB_MS</v>
      </c>
      <c r="B33" s="6" t="str">
        <f t="shared" si="2"/>
        <v>BXX_DEV1_DM1</v>
      </c>
      <c r="C33" s="6" t="str">
        <f>$C$3&amp;" Plant Manual Stroke RQ"</f>
        <v>Sample Motor Plant Manual Stroke RQ</v>
      </c>
      <c r="D33" s="4">
        <f t="shared" ref="D33" si="15">LEN(C33)</f>
        <v>35</v>
      </c>
      <c r="E33" t="s">
        <v>1</v>
      </c>
      <c r="F33" t="s">
        <v>0</v>
      </c>
      <c r="G33" s="2">
        <v>600</v>
      </c>
      <c r="H33" t="s">
        <v>0</v>
      </c>
      <c r="I33" t="s">
        <v>40</v>
      </c>
      <c r="J33" t="s">
        <v>50</v>
      </c>
      <c r="K33" t="s">
        <v>42</v>
      </c>
      <c r="L33" t="s">
        <v>41</v>
      </c>
      <c r="M33">
        <v>1</v>
      </c>
      <c r="N33" t="s">
        <v>49</v>
      </c>
      <c r="O33" s="6" t="str">
        <f t="shared" si="3"/>
        <v>BXX</v>
      </c>
      <c r="P33" t="s">
        <v>1</v>
      </c>
      <c r="Q33" s="6" t="str">
        <f>$A$3&amp;".PB_MS"</f>
        <v>BXX_DEV1_DM1.PB_MS</v>
      </c>
      <c r="R33" t="s">
        <v>1</v>
      </c>
      <c r="S33" s="6" t="str">
        <f t="shared" si="0"/>
        <v>Sample Motor Plant Manual Stroke RQ</v>
      </c>
      <c r="T33">
        <v>0</v>
      </c>
      <c r="U33">
        <v>0</v>
      </c>
    </row>
    <row r="34" spans="1:21" x14ac:dyDescent="0.25">
      <c r="A34" s="6" t="str">
        <f>$A$3&amp;"_"&amp;"PB_PT"</f>
        <v>BXX_DEV1_DM1_PB_PT</v>
      </c>
      <c r="B34" s="6" t="str">
        <f t="shared" si="2"/>
        <v>BXX_DEV1_DM1</v>
      </c>
      <c r="C34" s="6" t="str">
        <f>$C$3&amp;" Plant Manual Start"</f>
        <v>Sample Motor Plant Manual Start</v>
      </c>
      <c r="D34" s="4">
        <f t="shared" si="4"/>
        <v>31</v>
      </c>
      <c r="E34" t="s">
        <v>1</v>
      </c>
      <c r="F34" t="s">
        <v>0</v>
      </c>
      <c r="G34" s="2">
        <v>600</v>
      </c>
      <c r="H34" t="s">
        <v>0</v>
      </c>
      <c r="I34" t="s">
        <v>40</v>
      </c>
      <c r="J34" t="s">
        <v>50</v>
      </c>
      <c r="K34" t="s">
        <v>59</v>
      </c>
      <c r="L34" t="s">
        <v>41</v>
      </c>
      <c r="M34">
        <v>1</v>
      </c>
      <c r="N34" t="s">
        <v>49</v>
      </c>
      <c r="O34" s="6" t="str">
        <f t="shared" si="3"/>
        <v>BXX</v>
      </c>
      <c r="P34" t="s">
        <v>1</v>
      </c>
      <c r="Q34" s="6" t="str">
        <f>$A$3&amp;".PB_PT"</f>
        <v>BXX_DEV1_DM1.PB_PT</v>
      </c>
      <c r="R34" t="s">
        <v>1</v>
      </c>
      <c r="S34" s="6" t="str">
        <f t="shared" si="0"/>
        <v>Sample Motor Plant Manual Start</v>
      </c>
      <c r="T34">
        <v>0</v>
      </c>
      <c r="U34">
        <v>0</v>
      </c>
    </row>
    <row r="35" spans="1:21" x14ac:dyDescent="0.25">
      <c r="A35" s="6" t="str">
        <f>$A$3&amp;"_"&amp;"PB_PP"</f>
        <v>BXX_DEV1_DM1_PB_PP</v>
      </c>
      <c r="B35" s="6" t="str">
        <f t="shared" si="2"/>
        <v>BXX_DEV1_DM1</v>
      </c>
      <c r="C35" s="6" t="str">
        <f>$C$3&amp;" Plant Manual Stop"</f>
        <v>Sample Motor Plant Manual Stop</v>
      </c>
      <c r="D35" s="4">
        <f t="shared" si="4"/>
        <v>30</v>
      </c>
      <c r="E35" t="s">
        <v>1</v>
      </c>
      <c r="F35" t="s">
        <v>0</v>
      </c>
      <c r="G35" s="2">
        <v>600</v>
      </c>
      <c r="H35" t="s">
        <v>0</v>
      </c>
      <c r="I35" t="s">
        <v>40</v>
      </c>
      <c r="J35" t="s">
        <v>50</v>
      </c>
      <c r="K35" t="s">
        <v>60</v>
      </c>
      <c r="L35" t="s">
        <v>41</v>
      </c>
      <c r="M35">
        <v>1</v>
      </c>
      <c r="N35" t="s">
        <v>49</v>
      </c>
      <c r="O35" s="6" t="str">
        <f t="shared" si="3"/>
        <v>BXX</v>
      </c>
      <c r="P35" t="s">
        <v>1</v>
      </c>
      <c r="Q35" s="6" t="str">
        <f>$A$3&amp;".PB_PP"</f>
        <v>BXX_DEV1_DM1.PB_PP</v>
      </c>
      <c r="R35" t="s">
        <v>1</v>
      </c>
      <c r="S35" s="6" t="str">
        <f t="shared" si="0"/>
        <v>Sample Motor Plant Manual Stop</v>
      </c>
      <c r="T35">
        <v>0</v>
      </c>
      <c r="U35">
        <v>0</v>
      </c>
    </row>
    <row r="36" spans="1:21" x14ac:dyDescent="0.25">
      <c r="A36" s="6" t="str">
        <f>$A$3&amp;"_"&amp;"PB_AR"</f>
        <v>BXX_DEV1_DM1_PB_AR</v>
      </c>
      <c r="B36" s="6" t="str">
        <f t="shared" si="2"/>
        <v>BXX_DEV1_DM1</v>
      </c>
      <c r="C36" s="6" t="str">
        <f>$C$3&amp;" Alarm Ack"</f>
        <v>Sample Motor Alarm Ack</v>
      </c>
      <c r="D36" s="4">
        <f t="shared" si="4"/>
        <v>22</v>
      </c>
      <c r="E36" t="s">
        <v>1</v>
      </c>
      <c r="F36" t="s">
        <v>0</v>
      </c>
      <c r="G36" s="2">
        <v>600</v>
      </c>
      <c r="H36" t="s">
        <v>0</v>
      </c>
      <c r="I36" t="s">
        <v>40</v>
      </c>
      <c r="J36" t="s">
        <v>50</v>
      </c>
      <c r="K36" t="s">
        <v>56</v>
      </c>
      <c r="L36" t="s">
        <v>41</v>
      </c>
      <c r="M36">
        <v>1</v>
      </c>
      <c r="N36" t="s">
        <v>49</v>
      </c>
      <c r="O36" s="6" t="str">
        <f t="shared" si="3"/>
        <v>BXX</v>
      </c>
      <c r="P36" t="s">
        <v>1</v>
      </c>
      <c r="Q36" s="6" t="str">
        <f>$A$3&amp;".PB_AR"</f>
        <v>BXX_DEV1_DM1.PB_AR</v>
      </c>
      <c r="R36" t="s">
        <v>1</v>
      </c>
      <c r="S36" s="6" t="str">
        <f t="shared" si="0"/>
        <v>Sample Motor Alarm Ack</v>
      </c>
      <c r="T36">
        <v>0</v>
      </c>
      <c r="U36">
        <v>0</v>
      </c>
    </row>
    <row r="37" spans="1:21" x14ac:dyDescent="0.25">
      <c r="A37" s="6" t="str">
        <f>$A$3&amp;"_"&amp;"PB_RT"</f>
        <v>BXX_DEV1_DM1_PB_RT</v>
      </c>
      <c r="B37" s="6" t="str">
        <f t="shared" si="2"/>
        <v>BXX_DEV1_DM1</v>
      </c>
      <c r="C37" s="6" t="str">
        <f>$C$3&amp;" Runtime Reset"</f>
        <v>Sample Motor Runtime Reset</v>
      </c>
      <c r="D37" s="4">
        <f t="shared" si="4"/>
        <v>26</v>
      </c>
      <c r="E37" t="s">
        <v>1</v>
      </c>
      <c r="F37" t="s">
        <v>0</v>
      </c>
      <c r="G37" s="2">
        <v>600</v>
      </c>
      <c r="H37" t="s">
        <v>0</v>
      </c>
      <c r="I37" t="s">
        <v>40</v>
      </c>
      <c r="J37" t="s">
        <v>50</v>
      </c>
      <c r="K37" t="s">
        <v>58</v>
      </c>
      <c r="L37" t="s">
        <v>41</v>
      </c>
      <c r="M37">
        <v>1</v>
      </c>
      <c r="N37" t="s">
        <v>49</v>
      </c>
      <c r="O37" s="6" t="str">
        <f t="shared" si="3"/>
        <v>BXX</v>
      </c>
      <c r="P37" t="s">
        <v>1</v>
      </c>
      <c r="Q37" s="6" t="str">
        <f>$A$3&amp;".PB_RT"</f>
        <v>BXX_DEV1_DM1.PB_RT</v>
      </c>
      <c r="R37" t="s">
        <v>1</v>
      </c>
      <c r="S37" s="6" t="str">
        <f t="shared" si="0"/>
        <v>Sample Motor Runtime Reset</v>
      </c>
      <c r="T37">
        <v>0</v>
      </c>
      <c r="U37">
        <v>0</v>
      </c>
    </row>
    <row r="38" spans="1:21" x14ac:dyDescent="0.25">
      <c r="A38" s="6" t="str">
        <f>$A$3&amp;"_"&amp;"DA_SF"</f>
        <v>BXX_DEV1_DM1_DA_SF</v>
      </c>
      <c r="B38" s="6" t="str">
        <f t="shared" si="2"/>
        <v>BXX_DEV1_DM1</v>
      </c>
      <c r="C38" s="6" t="str">
        <f>$C$3&amp;" Failed To Start"</f>
        <v>Sample Motor Failed To Start</v>
      </c>
      <c r="D38" s="4">
        <f t="shared" si="4"/>
        <v>28</v>
      </c>
      <c r="E38" t="s">
        <v>1</v>
      </c>
      <c r="F38" t="s">
        <v>1</v>
      </c>
      <c r="G38">
        <v>0</v>
      </c>
      <c r="H38" t="s">
        <v>0</v>
      </c>
      <c r="I38" t="s">
        <v>40</v>
      </c>
      <c r="J38" t="s">
        <v>50</v>
      </c>
      <c r="K38" t="s">
        <v>51</v>
      </c>
      <c r="L38" t="s">
        <v>42</v>
      </c>
      <c r="M38" s="2">
        <v>51</v>
      </c>
      <c r="N38" t="s">
        <v>49</v>
      </c>
      <c r="O38" s="6" t="str">
        <f t="shared" si="3"/>
        <v>BXX</v>
      </c>
      <c r="P38" t="s">
        <v>1</v>
      </c>
      <c r="Q38" s="6" t="str">
        <f>$A$3&amp;".DA_SF"</f>
        <v>BXX_DEV1_DM1.DA_SF</v>
      </c>
      <c r="R38" t="s">
        <v>1</v>
      </c>
      <c r="S38" s="6" t="str">
        <f t="shared" si="0"/>
        <v>Sample Motor Failed To Start</v>
      </c>
      <c r="T38">
        <v>0</v>
      </c>
      <c r="U38">
        <v>0</v>
      </c>
    </row>
    <row r="39" spans="1:21" x14ac:dyDescent="0.25">
      <c r="A39" s="6" t="str">
        <f>$A$3&amp;"_"&amp;"DA_XF"</f>
        <v>BXX_DEV1_DM1_DA_XF</v>
      </c>
      <c r="B39" s="6" t="str">
        <f t="shared" si="2"/>
        <v>BXX_DEV1_DM1</v>
      </c>
      <c r="C39" s="6" t="str">
        <f>$C$3&amp;" Failed To Stop"</f>
        <v>Sample Motor Failed To Stop</v>
      </c>
      <c r="D39" s="4">
        <f t="shared" si="4"/>
        <v>27</v>
      </c>
      <c r="E39" t="s">
        <v>1</v>
      </c>
      <c r="F39" t="s">
        <v>1</v>
      </c>
      <c r="G39">
        <v>0</v>
      </c>
      <c r="H39" t="s">
        <v>0</v>
      </c>
      <c r="I39" t="s">
        <v>40</v>
      </c>
      <c r="J39" t="s">
        <v>50</v>
      </c>
      <c r="K39" t="s">
        <v>51</v>
      </c>
      <c r="L39" t="s">
        <v>42</v>
      </c>
      <c r="M39" s="2">
        <v>52</v>
      </c>
      <c r="N39" t="s">
        <v>49</v>
      </c>
      <c r="O39" s="6" t="str">
        <f t="shared" si="3"/>
        <v>BXX</v>
      </c>
      <c r="P39" t="s">
        <v>1</v>
      </c>
      <c r="Q39" s="6" t="str">
        <f>$A$3&amp;".DA_XF"</f>
        <v>BXX_DEV1_DM1.DA_XF</v>
      </c>
      <c r="R39" t="s">
        <v>1</v>
      </c>
      <c r="S39" s="6" t="str">
        <f t="shared" si="0"/>
        <v>Sample Motor Failed To Stop</v>
      </c>
      <c r="T39">
        <v>0</v>
      </c>
      <c r="U39">
        <v>0</v>
      </c>
    </row>
    <row r="40" spans="1:21" x14ac:dyDescent="0.25">
      <c r="A40" s="6" t="str">
        <f>$A$3&amp;"_"&amp;"DA_SU"</f>
        <v>BXX_DEV1_DM1_DA_SU</v>
      </c>
      <c r="B40" s="6" t="str">
        <f t="shared" si="2"/>
        <v>BXX_DEV1_DM1</v>
      </c>
      <c r="C40" s="6" t="str">
        <f>$C$3&amp;" Uncommanded Start"</f>
        <v>Sample Motor Uncommanded Start</v>
      </c>
      <c r="D40" s="4">
        <f t="shared" si="4"/>
        <v>30</v>
      </c>
      <c r="E40" t="s">
        <v>1</v>
      </c>
      <c r="F40" t="s">
        <v>1</v>
      </c>
      <c r="G40">
        <v>0</v>
      </c>
      <c r="H40" t="s">
        <v>0</v>
      </c>
      <c r="I40" t="s">
        <v>40</v>
      </c>
      <c r="J40" t="s">
        <v>50</v>
      </c>
      <c r="K40" t="s">
        <v>51</v>
      </c>
      <c r="L40" t="s">
        <v>42</v>
      </c>
      <c r="M40" s="2">
        <v>53</v>
      </c>
      <c r="N40" t="s">
        <v>49</v>
      </c>
      <c r="O40" s="6" t="str">
        <f t="shared" si="3"/>
        <v>BXX</v>
      </c>
      <c r="P40" t="s">
        <v>1</v>
      </c>
      <c r="Q40" s="6" t="str">
        <f>$A$3&amp;".DA_SU"</f>
        <v>BXX_DEV1_DM1.DA_SU</v>
      </c>
      <c r="R40" t="s">
        <v>1</v>
      </c>
      <c r="S40" s="6" t="str">
        <f t="shared" si="0"/>
        <v>Sample Motor Uncommanded Start</v>
      </c>
      <c r="T40">
        <v>0</v>
      </c>
      <c r="U40">
        <v>0</v>
      </c>
    </row>
    <row r="41" spans="1:21" x14ac:dyDescent="0.25">
      <c r="A41" s="6" t="str">
        <f>$A$3&amp;"_"&amp;"DA_XU"</f>
        <v>BXX_DEV1_DM1_DA_XU</v>
      </c>
      <c r="B41" s="6" t="str">
        <f t="shared" si="2"/>
        <v>BXX_DEV1_DM1</v>
      </c>
      <c r="C41" s="6" t="str">
        <f>$C$3&amp;" Uncommanded Stop"</f>
        <v>Sample Motor Uncommanded Stop</v>
      </c>
      <c r="D41" s="4">
        <f t="shared" si="4"/>
        <v>29</v>
      </c>
      <c r="E41" t="s">
        <v>1</v>
      </c>
      <c r="F41" t="s">
        <v>1</v>
      </c>
      <c r="G41">
        <v>0</v>
      </c>
      <c r="H41" t="s">
        <v>0</v>
      </c>
      <c r="I41" t="s">
        <v>40</v>
      </c>
      <c r="J41" t="s">
        <v>50</v>
      </c>
      <c r="K41" t="s">
        <v>51</v>
      </c>
      <c r="L41" t="s">
        <v>42</v>
      </c>
      <c r="M41" s="2">
        <v>54</v>
      </c>
      <c r="N41" t="s">
        <v>49</v>
      </c>
      <c r="O41" s="6" t="str">
        <f t="shared" si="3"/>
        <v>BXX</v>
      </c>
      <c r="P41" t="s">
        <v>1</v>
      </c>
      <c r="Q41" s="6" t="str">
        <f>$A$3&amp;".DA_XU"</f>
        <v>BXX_DEV1_DM1.DA_XU</v>
      </c>
      <c r="R41" t="s">
        <v>1</v>
      </c>
      <c r="S41" s="6" t="str">
        <f t="shared" ref="S41:S72" si="16">C41</f>
        <v>Sample Motor Uncommanded Stop</v>
      </c>
      <c r="T41">
        <v>0</v>
      </c>
      <c r="U41">
        <v>0</v>
      </c>
    </row>
    <row r="42" spans="1:21" x14ac:dyDescent="0.25">
      <c r="A42" s="3" t="str">
        <f>$A$3&amp;"_"&amp;"DI_BP"</f>
        <v>BXX_DEV1_DM1_DI_BP</v>
      </c>
      <c r="B42" s="6" t="str">
        <f t="shared" si="2"/>
        <v>BXX_DEV1_DM1</v>
      </c>
      <c r="C42" s="6" t="str">
        <f>$C$3&amp;" Bypass Mode"</f>
        <v>Sample Motor Bypass Mode</v>
      </c>
      <c r="D42" s="4">
        <f t="shared" ref="D42" si="17">LEN(C42)</f>
        <v>24</v>
      </c>
      <c r="E42" t="s">
        <v>1</v>
      </c>
      <c r="F42" t="s">
        <v>0</v>
      </c>
      <c r="G42" s="2">
        <v>700</v>
      </c>
      <c r="H42" t="s">
        <v>0</v>
      </c>
      <c r="I42" t="s">
        <v>40</v>
      </c>
      <c r="J42" t="s">
        <v>50</v>
      </c>
      <c r="K42" t="s">
        <v>63</v>
      </c>
      <c r="L42" t="s">
        <v>41</v>
      </c>
      <c r="M42">
        <v>1</v>
      </c>
      <c r="N42" t="s">
        <v>49</v>
      </c>
      <c r="O42" s="6" t="str">
        <f t="shared" si="3"/>
        <v>BXX</v>
      </c>
      <c r="P42" t="s">
        <v>1</v>
      </c>
      <c r="Q42" s="6" t="str">
        <f>$A$3&amp;".DI_BP.eng"</f>
        <v>BXX_DEV1_DM1.DI_BP.eng</v>
      </c>
      <c r="R42" t="s">
        <v>1</v>
      </c>
      <c r="S42" s="6" t="str">
        <f t="shared" si="16"/>
        <v>Sample Motor Bypass Mode</v>
      </c>
      <c r="T42">
        <v>0</v>
      </c>
      <c r="U42">
        <v>0</v>
      </c>
    </row>
    <row r="43" spans="1:21" x14ac:dyDescent="0.25">
      <c r="A43" s="3" t="str">
        <f>$A$3&amp;"_"&amp;"DI_ST"</f>
        <v>BXX_DEV1_DM1_DI_ST</v>
      </c>
      <c r="B43" s="6" t="str">
        <f t="shared" si="2"/>
        <v>BXX_DEV1_DM1</v>
      </c>
      <c r="C43" s="6" t="str">
        <f>$C$3&amp;" Hardwired Start"</f>
        <v>Sample Motor Hardwired Start</v>
      </c>
      <c r="D43" s="4">
        <f t="shared" ref="D43" si="18">LEN(C43)</f>
        <v>28</v>
      </c>
      <c r="E43" t="s">
        <v>1</v>
      </c>
      <c r="F43" t="s">
        <v>0</v>
      </c>
      <c r="G43" s="2">
        <v>700</v>
      </c>
      <c r="H43" t="s">
        <v>0</v>
      </c>
      <c r="I43" t="s">
        <v>40</v>
      </c>
      <c r="J43" t="s">
        <v>50</v>
      </c>
      <c r="K43" t="s">
        <v>42</v>
      </c>
      <c r="L43" t="s">
        <v>41</v>
      </c>
      <c r="M43">
        <v>1</v>
      </c>
      <c r="N43" t="s">
        <v>49</v>
      </c>
      <c r="O43" s="6" t="str">
        <f t="shared" si="3"/>
        <v>BXX</v>
      </c>
      <c r="P43" t="s">
        <v>1</v>
      </c>
      <c r="Q43" s="6" t="str">
        <f>$A$3&amp;".DI_ST.eng"</f>
        <v>BXX_DEV1_DM1.DI_ST.eng</v>
      </c>
      <c r="R43" t="s">
        <v>1</v>
      </c>
      <c r="S43" s="6" t="str">
        <f t="shared" si="16"/>
        <v>Sample Motor Hardwired Start</v>
      </c>
      <c r="T43">
        <v>0</v>
      </c>
      <c r="U43">
        <v>0</v>
      </c>
    </row>
    <row r="44" spans="1:21" x14ac:dyDescent="0.25">
      <c r="A44" s="3" t="str">
        <f>$A$3&amp;"_"&amp;"DI_SP"</f>
        <v>BXX_DEV1_DM1_DI_SP</v>
      </c>
      <c r="B44" s="6" t="str">
        <f t="shared" si="2"/>
        <v>BXX_DEV1_DM1</v>
      </c>
      <c r="C44" s="6" t="str">
        <f>$C$3&amp;" Hardwired Stop"</f>
        <v>Sample Motor Hardwired Stop</v>
      </c>
      <c r="D44" s="4">
        <f t="shared" si="4"/>
        <v>27</v>
      </c>
      <c r="E44" t="s">
        <v>1</v>
      </c>
      <c r="F44" t="s">
        <v>0</v>
      </c>
      <c r="G44" s="2">
        <v>700</v>
      </c>
      <c r="H44" t="s">
        <v>0</v>
      </c>
      <c r="I44" t="s">
        <v>40</v>
      </c>
      <c r="J44" t="s">
        <v>50</v>
      </c>
      <c r="K44" t="s">
        <v>42</v>
      </c>
      <c r="L44" t="s">
        <v>41</v>
      </c>
      <c r="M44">
        <v>1</v>
      </c>
      <c r="N44" t="s">
        <v>49</v>
      </c>
      <c r="O44" s="6" t="str">
        <f t="shared" si="3"/>
        <v>BXX</v>
      </c>
      <c r="P44" t="s">
        <v>1</v>
      </c>
      <c r="Q44" s="6" t="str">
        <f>$A$3&amp;".DI_SP.eng"</f>
        <v>BXX_DEV1_DM1.DI_SP.eng</v>
      </c>
      <c r="R44" t="s">
        <v>1</v>
      </c>
      <c r="S44" s="6" t="str">
        <f t="shared" si="16"/>
        <v>Sample Motor Hardwired Stop</v>
      </c>
      <c r="T44">
        <v>0</v>
      </c>
      <c r="U44">
        <v>0</v>
      </c>
    </row>
    <row r="45" spans="1:21" x14ac:dyDescent="0.25">
      <c r="A45" s="6" t="str">
        <f>$A$3&amp;"_"&amp;"PB_SU"</f>
        <v>BXX_DEV1_DM1_PB_SU</v>
      </c>
      <c r="B45" s="6" t="str">
        <f t="shared" si="2"/>
        <v>BXX_DEV1_DM1</v>
      </c>
      <c r="C45" s="6" t="str">
        <f>$C$3&amp;" Uncomm Start Alarm En"</f>
        <v>Sample Motor Uncomm Start Alarm En</v>
      </c>
      <c r="D45" s="4">
        <f t="shared" si="4"/>
        <v>34</v>
      </c>
      <c r="E45" t="s">
        <v>1</v>
      </c>
      <c r="F45" t="s">
        <v>0</v>
      </c>
      <c r="G45" s="2">
        <v>600</v>
      </c>
      <c r="H45" t="s">
        <v>0</v>
      </c>
      <c r="I45" t="s">
        <v>40</v>
      </c>
      <c r="J45" t="s">
        <v>52</v>
      </c>
      <c r="K45" t="s">
        <v>53</v>
      </c>
      <c r="L45" t="s">
        <v>41</v>
      </c>
      <c r="M45" s="1">
        <v>1</v>
      </c>
      <c r="N45" t="s">
        <v>49</v>
      </c>
      <c r="O45" s="6" t="str">
        <f t="shared" si="3"/>
        <v>BXX</v>
      </c>
      <c r="P45" t="s">
        <v>1</v>
      </c>
      <c r="Q45" s="6" t="str">
        <f>$A$3&amp;".PB_SU.RE"</f>
        <v>BXX_DEV1_DM1.PB_SU.RE</v>
      </c>
      <c r="R45" t="s">
        <v>1</v>
      </c>
      <c r="S45" s="6" t="str">
        <f t="shared" si="16"/>
        <v>Sample Motor Uncomm Start Alarm En</v>
      </c>
      <c r="T45">
        <v>0</v>
      </c>
      <c r="U45">
        <v>0</v>
      </c>
    </row>
    <row r="46" spans="1:21" x14ac:dyDescent="0.25">
      <c r="A46" s="6" t="str">
        <f>$A$3&amp;"_"&amp;"PB_SF"</f>
        <v>BXX_DEV1_DM1_PB_SF</v>
      </c>
      <c r="B46" s="6" t="str">
        <f t="shared" si="2"/>
        <v>BXX_DEV1_DM1</v>
      </c>
      <c r="C46" s="6" t="str">
        <f>$C$3&amp;" Failed To Start Alarm En"</f>
        <v>Sample Motor Failed To Start Alarm En</v>
      </c>
      <c r="D46" s="4">
        <f t="shared" si="4"/>
        <v>37</v>
      </c>
      <c r="E46" t="s">
        <v>1</v>
      </c>
      <c r="F46" t="s">
        <v>0</v>
      </c>
      <c r="G46" s="2">
        <v>600</v>
      </c>
      <c r="H46" t="s">
        <v>0</v>
      </c>
      <c r="I46" t="s">
        <v>40</v>
      </c>
      <c r="J46" t="s">
        <v>52</v>
      </c>
      <c r="K46" t="s">
        <v>53</v>
      </c>
      <c r="L46" t="s">
        <v>41</v>
      </c>
      <c r="M46" s="1">
        <v>1</v>
      </c>
      <c r="N46" t="s">
        <v>49</v>
      </c>
      <c r="O46" s="6" t="str">
        <f t="shared" si="3"/>
        <v>BXX</v>
      </c>
      <c r="P46" t="s">
        <v>1</v>
      </c>
      <c r="Q46" s="6" t="str">
        <f>$A$3&amp;".PB_SF.RE"</f>
        <v>BXX_DEV1_DM1.PB_SF.RE</v>
      </c>
      <c r="R46" t="s">
        <v>1</v>
      </c>
      <c r="S46" s="6" t="str">
        <f t="shared" si="16"/>
        <v>Sample Motor Failed To Start Alarm En</v>
      </c>
      <c r="T46">
        <v>0</v>
      </c>
      <c r="U46">
        <v>0</v>
      </c>
    </row>
    <row r="47" spans="1:21" x14ac:dyDescent="0.25">
      <c r="A47" s="6" t="str">
        <f>$A$3&amp;"_"&amp;"PB_XF"</f>
        <v>BXX_DEV1_DM1_PB_XF</v>
      </c>
      <c r="B47" s="6" t="str">
        <f t="shared" si="2"/>
        <v>BXX_DEV1_DM1</v>
      </c>
      <c r="C47" s="6" t="str">
        <f>$C$3&amp;" Failed To Stop Alarm En"</f>
        <v>Sample Motor Failed To Stop Alarm En</v>
      </c>
      <c r="D47" s="4">
        <f t="shared" si="4"/>
        <v>36</v>
      </c>
      <c r="E47" t="s">
        <v>1</v>
      </c>
      <c r="F47" t="s">
        <v>0</v>
      </c>
      <c r="G47" s="2">
        <v>600</v>
      </c>
      <c r="H47" t="s">
        <v>0</v>
      </c>
      <c r="I47" t="s">
        <v>40</v>
      </c>
      <c r="J47" t="s">
        <v>52</v>
      </c>
      <c r="K47" t="s">
        <v>53</v>
      </c>
      <c r="L47" t="s">
        <v>41</v>
      </c>
      <c r="M47" s="1">
        <v>1</v>
      </c>
      <c r="N47" t="s">
        <v>49</v>
      </c>
      <c r="O47" s="6" t="str">
        <f t="shared" si="3"/>
        <v>BXX</v>
      </c>
      <c r="P47" t="s">
        <v>1</v>
      </c>
      <c r="Q47" s="6" t="str">
        <f>$A$3&amp;".PB_XF.RE"</f>
        <v>BXX_DEV1_DM1.PB_XF.RE</v>
      </c>
      <c r="R47" t="s">
        <v>1</v>
      </c>
      <c r="S47" s="6" t="str">
        <f t="shared" si="16"/>
        <v>Sample Motor Failed To Stop Alarm En</v>
      </c>
      <c r="T47">
        <v>0</v>
      </c>
      <c r="U47">
        <v>0</v>
      </c>
    </row>
    <row r="48" spans="1:21" x14ac:dyDescent="0.25">
      <c r="A48" s="6" t="str">
        <f>$A$3&amp;"_"&amp;"PB_XU"</f>
        <v>BXX_DEV1_DM1_PB_XU</v>
      </c>
      <c r="B48" s="6" t="str">
        <f t="shared" si="2"/>
        <v>BXX_DEV1_DM1</v>
      </c>
      <c r="C48" s="6" t="str">
        <f>$C$3&amp;" Uncomm. Stop Alarm En"</f>
        <v>Sample Motor Uncomm. Stop Alarm En</v>
      </c>
      <c r="D48" s="4">
        <f t="shared" si="4"/>
        <v>34</v>
      </c>
      <c r="E48" t="s">
        <v>1</v>
      </c>
      <c r="F48" t="s">
        <v>0</v>
      </c>
      <c r="G48" s="2">
        <v>600</v>
      </c>
      <c r="H48" t="s">
        <v>0</v>
      </c>
      <c r="I48" t="s">
        <v>40</v>
      </c>
      <c r="J48" t="s">
        <v>52</v>
      </c>
      <c r="K48" t="s">
        <v>53</v>
      </c>
      <c r="L48" t="s">
        <v>41</v>
      </c>
      <c r="M48" s="1">
        <v>1</v>
      </c>
      <c r="N48" t="s">
        <v>49</v>
      </c>
      <c r="O48" s="6" t="str">
        <f t="shared" si="3"/>
        <v>BXX</v>
      </c>
      <c r="P48" t="s">
        <v>1</v>
      </c>
      <c r="Q48" s="6" t="str">
        <f>$A$3&amp;".PB_XU.RE"</f>
        <v>BXX_DEV1_DM1.PB_XU.RE</v>
      </c>
      <c r="R48" t="s">
        <v>1</v>
      </c>
      <c r="S48" s="6" t="str">
        <f t="shared" si="16"/>
        <v>Sample Motor Uncomm. Stop Alarm En</v>
      </c>
      <c r="T48">
        <v>0</v>
      </c>
      <c r="U48">
        <v>0</v>
      </c>
    </row>
    <row r="49" spans="1:21" x14ac:dyDescent="0.25">
      <c r="A49" s="6" t="str">
        <f>$A$3&amp;"_"&amp;"PB_SM"</f>
        <v>BXX_DEV1_DM1_PB_SM</v>
      </c>
      <c r="B49" s="6" t="str">
        <f t="shared" si="2"/>
        <v>BXX_DEV1_DM1</v>
      </c>
      <c r="C49" s="6" t="str">
        <f>$C$3&amp;" Simulate Alarms PB"</f>
        <v>Sample Motor Simulate Alarms PB</v>
      </c>
      <c r="D49" s="4">
        <f t="shared" si="4"/>
        <v>31</v>
      </c>
      <c r="E49" t="s">
        <v>1</v>
      </c>
      <c r="F49" t="s">
        <v>0</v>
      </c>
      <c r="G49" s="2">
        <v>600</v>
      </c>
      <c r="H49" t="s">
        <v>0</v>
      </c>
      <c r="I49" t="s">
        <v>40</v>
      </c>
      <c r="J49" t="s">
        <v>40</v>
      </c>
      <c r="K49" t="s">
        <v>42</v>
      </c>
      <c r="L49" t="s">
        <v>41</v>
      </c>
      <c r="M49" s="1">
        <v>1</v>
      </c>
      <c r="N49" t="s">
        <v>49</v>
      </c>
      <c r="O49" s="6" t="str">
        <f t="shared" si="3"/>
        <v>BXX</v>
      </c>
      <c r="P49" t="s">
        <v>1</v>
      </c>
      <c r="Q49" s="6" t="str">
        <f>$A$3&amp;".PB_SM"</f>
        <v>BXX_DEV1_DM1.PB_SM</v>
      </c>
      <c r="R49" t="s">
        <v>1</v>
      </c>
      <c r="S49" s="6" t="str">
        <f t="shared" si="16"/>
        <v>Sample Motor Simulate Alarms PB</v>
      </c>
      <c r="T49">
        <v>0</v>
      </c>
      <c r="U49">
        <v>0</v>
      </c>
    </row>
    <row r="50" spans="1:21" x14ac:dyDescent="0.25">
      <c r="A50" s="6" t="str">
        <f>$A$3&amp;"_"&amp;"PB_AE"</f>
        <v>BXX_DEV1_DM1_PB_AE</v>
      </c>
      <c r="B50" s="6" t="str">
        <f t="shared" si="2"/>
        <v>BXX_DEV1_DM1</v>
      </c>
      <c r="C50" s="6" t="str">
        <f>$C$3&amp;" Alarm Enable"</f>
        <v>Sample Motor Alarm Enable</v>
      </c>
      <c r="D50" s="4">
        <f t="shared" si="4"/>
        <v>25</v>
      </c>
      <c r="E50" t="s">
        <v>1</v>
      </c>
      <c r="F50" t="s">
        <v>0</v>
      </c>
      <c r="G50" s="2">
        <v>600</v>
      </c>
      <c r="H50" t="s">
        <v>0</v>
      </c>
      <c r="I50" t="s">
        <v>40</v>
      </c>
      <c r="J50" t="s">
        <v>52</v>
      </c>
      <c r="K50" t="s">
        <v>53</v>
      </c>
      <c r="L50" t="s">
        <v>41</v>
      </c>
      <c r="M50">
        <v>1</v>
      </c>
      <c r="N50" t="s">
        <v>49</v>
      </c>
      <c r="O50" s="6" t="str">
        <f t="shared" si="3"/>
        <v>BXX</v>
      </c>
      <c r="P50" t="s">
        <v>1</v>
      </c>
      <c r="Q50" s="6" t="str">
        <f>$A$3&amp;".PB_AE.RE"</f>
        <v>BXX_DEV1_DM1.PB_AE.RE</v>
      </c>
      <c r="R50" t="s">
        <v>1</v>
      </c>
      <c r="S50" s="6" t="str">
        <f t="shared" si="16"/>
        <v>Sample Motor Alarm Enable</v>
      </c>
      <c r="T50">
        <v>0</v>
      </c>
      <c r="U50">
        <v>0</v>
      </c>
    </row>
    <row r="51" spans="1:21" x14ac:dyDescent="0.25">
      <c r="A51" s="3" t="str">
        <f>$A$3&amp;"_"&amp;"PB_SU_DE"</f>
        <v>BXX_DEV1_DM1_PB_SU_DE</v>
      </c>
      <c r="B51" s="6" t="str">
        <f t="shared" si="2"/>
        <v>BXX_DEV1_DM1</v>
      </c>
      <c r="C51" s="6" t="str">
        <f>$C$3 &amp; " Uncomm Start Dialer En"</f>
        <v>Sample Motor Uncomm Start Dialer En</v>
      </c>
      <c r="D51" s="4">
        <f t="shared" si="4"/>
        <v>35</v>
      </c>
      <c r="E51" t="s">
        <v>1</v>
      </c>
      <c r="F51" t="s">
        <v>0</v>
      </c>
      <c r="G51" s="2">
        <v>600</v>
      </c>
      <c r="H51" t="s">
        <v>0</v>
      </c>
      <c r="I51" t="s">
        <v>40</v>
      </c>
      <c r="J51" t="s">
        <v>52</v>
      </c>
      <c r="K51" t="s">
        <v>53</v>
      </c>
      <c r="L51" t="s">
        <v>41</v>
      </c>
      <c r="M51">
        <v>1</v>
      </c>
      <c r="N51" t="s">
        <v>49</v>
      </c>
      <c r="O51" s="6" t="str">
        <f t="shared" ref="O51:O60" si="19">$O$10</f>
        <v>BXX</v>
      </c>
      <c r="P51" t="s">
        <v>1</v>
      </c>
      <c r="Q51" s="6" t="str">
        <f>$A$3&amp;".PB_SU.DE"</f>
        <v>BXX_DEV1_DM1.PB_SU.DE</v>
      </c>
      <c r="R51" t="s">
        <v>1</v>
      </c>
      <c r="S51" s="6" t="str">
        <f t="shared" si="16"/>
        <v>Sample Motor Uncomm Start Dialer En</v>
      </c>
      <c r="T51">
        <v>0</v>
      </c>
      <c r="U51">
        <v>0</v>
      </c>
    </row>
    <row r="52" spans="1:21" x14ac:dyDescent="0.25">
      <c r="A52" s="3" t="str">
        <f>$A$3&amp;"_"&amp;"PB_SF_DE"</f>
        <v>BXX_DEV1_DM1_PB_SF_DE</v>
      </c>
      <c r="B52" s="6" t="str">
        <f t="shared" si="2"/>
        <v>BXX_DEV1_DM1</v>
      </c>
      <c r="C52" s="6" t="str">
        <f>$C$3 &amp; " Failed To Start Dialer En"</f>
        <v>Sample Motor Failed To Start Dialer En</v>
      </c>
      <c r="D52" s="4">
        <f t="shared" si="4"/>
        <v>38</v>
      </c>
      <c r="E52" t="s">
        <v>1</v>
      </c>
      <c r="F52" t="s">
        <v>0</v>
      </c>
      <c r="G52" s="2">
        <v>600</v>
      </c>
      <c r="H52" t="s">
        <v>0</v>
      </c>
      <c r="I52" t="s">
        <v>40</v>
      </c>
      <c r="J52" t="s">
        <v>52</v>
      </c>
      <c r="K52" t="s">
        <v>53</v>
      </c>
      <c r="L52" t="s">
        <v>41</v>
      </c>
      <c r="M52">
        <v>1</v>
      </c>
      <c r="N52" t="s">
        <v>49</v>
      </c>
      <c r="O52" s="6" t="str">
        <f t="shared" si="19"/>
        <v>BXX</v>
      </c>
      <c r="P52" t="s">
        <v>1</v>
      </c>
      <c r="Q52" s="6" t="str">
        <f>$A$3&amp;".PB_SF.DE"</f>
        <v>BXX_DEV1_DM1.PB_SF.DE</v>
      </c>
      <c r="R52" t="s">
        <v>1</v>
      </c>
      <c r="S52" s="6" t="str">
        <f t="shared" si="16"/>
        <v>Sample Motor Failed To Start Dialer En</v>
      </c>
      <c r="T52">
        <v>0</v>
      </c>
      <c r="U52">
        <v>0</v>
      </c>
    </row>
    <row r="53" spans="1:21" x14ac:dyDescent="0.25">
      <c r="A53" s="3" t="str">
        <f>$A$3&amp;"_"&amp;"PB_XF_DE"</f>
        <v>BXX_DEV1_DM1_PB_XF_DE</v>
      </c>
      <c r="B53" s="6" t="str">
        <f t="shared" si="2"/>
        <v>BXX_DEV1_DM1</v>
      </c>
      <c r="C53" s="6" t="str">
        <f>$C$3 &amp; " Failed to Stop Dialer En"</f>
        <v>Sample Motor Failed to Stop Dialer En</v>
      </c>
      <c r="D53" s="4">
        <f t="shared" si="4"/>
        <v>37</v>
      </c>
      <c r="E53" t="s">
        <v>1</v>
      </c>
      <c r="F53" t="s">
        <v>0</v>
      </c>
      <c r="G53" s="2">
        <v>600</v>
      </c>
      <c r="H53" t="s">
        <v>0</v>
      </c>
      <c r="I53" t="s">
        <v>40</v>
      </c>
      <c r="J53" t="s">
        <v>52</v>
      </c>
      <c r="K53" t="s">
        <v>53</v>
      </c>
      <c r="L53" t="s">
        <v>41</v>
      </c>
      <c r="M53">
        <v>1</v>
      </c>
      <c r="N53" t="s">
        <v>49</v>
      </c>
      <c r="O53" s="6" t="str">
        <f t="shared" si="19"/>
        <v>BXX</v>
      </c>
      <c r="P53" t="s">
        <v>1</v>
      </c>
      <c r="Q53" s="6" t="str">
        <f>$A$3&amp;".PB_XF.DE"</f>
        <v>BXX_DEV1_DM1.PB_XF.DE</v>
      </c>
      <c r="R53" t="s">
        <v>1</v>
      </c>
      <c r="S53" s="6" t="str">
        <f t="shared" si="16"/>
        <v>Sample Motor Failed to Stop Dialer En</v>
      </c>
      <c r="T53">
        <v>0</v>
      </c>
      <c r="U53">
        <v>0</v>
      </c>
    </row>
    <row r="54" spans="1:21" x14ac:dyDescent="0.25">
      <c r="A54" s="3" t="str">
        <f>$A$3&amp;"_"&amp;"PB_XU_DE"</f>
        <v>BXX_DEV1_DM1_PB_XU_DE</v>
      </c>
      <c r="B54" s="6" t="str">
        <f t="shared" si="2"/>
        <v>BXX_DEV1_DM1</v>
      </c>
      <c r="C54" s="6" t="str">
        <f>$C$3 &amp; " Uncomm Stop Dialer En"</f>
        <v>Sample Motor Uncomm Stop Dialer En</v>
      </c>
      <c r="D54" s="4">
        <f t="shared" si="4"/>
        <v>34</v>
      </c>
      <c r="E54" t="s">
        <v>1</v>
      </c>
      <c r="F54" t="s">
        <v>0</v>
      </c>
      <c r="G54" s="2">
        <v>600</v>
      </c>
      <c r="H54" t="s">
        <v>0</v>
      </c>
      <c r="I54" t="s">
        <v>40</v>
      </c>
      <c r="J54" t="s">
        <v>52</v>
      </c>
      <c r="K54" t="s">
        <v>53</v>
      </c>
      <c r="L54" t="s">
        <v>41</v>
      </c>
      <c r="M54">
        <v>1</v>
      </c>
      <c r="N54" t="s">
        <v>49</v>
      </c>
      <c r="O54" s="6" t="str">
        <f t="shared" si="19"/>
        <v>BXX</v>
      </c>
      <c r="P54" t="s">
        <v>1</v>
      </c>
      <c r="Q54" s="6" t="str">
        <f>$A$3&amp;".PB_XU.DE"</f>
        <v>BXX_DEV1_DM1.PB_XU.DE</v>
      </c>
      <c r="R54" t="s">
        <v>1</v>
      </c>
      <c r="S54" s="6" t="str">
        <f t="shared" si="16"/>
        <v>Sample Motor Uncomm Stop Dialer En</v>
      </c>
      <c r="T54">
        <v>0</v>
      </c>
      <c r="U54">
        <v>0</v>
      </c>
    </row>
    <row r="55" spans="1:21" x14ac:dyDescent="0.25">
      <c r="A55" s="3" t="str">
        <f>$A$3&amp;"_"&amp;"PB_AE_DE"</f>
        <v>BXX_DEV1_DM1_PB_AE_DE</v>
      </c>
      <c r="B55" s="6" t="str">
        <f t="shared" si="2"/>
        <v>BXX_DEV1_DM1</v>
      </c>
      <c r="C55" s="6" t="str">
        <f>$C$3 &amp; " Alarms Dialer Enable"</f>
        <v>Sample Motor Alarms Dialer Enable</v>
      </c>
      <c r="D55" s="4">
        <f t="shared" si="4"/>
        <v>33</v>
      </c>
      <c r="E55" t="s">
        <v>1</v>
      </c>
      <c r="F55" t="s">
        <v>0</v>
      </c>
      <c r="G55" s="2">
        <v>600</v>
      </c>
      <c r="H55" t="s">
        <v>0</v>
      </c>
      <c r="I55" t="s">
        <v>40</v>
      </c>
      <c r="J55" t="s">
        <v>52</v>
      </c>
      <c r="K55" t="s">
        <v>53</v>
      </c>
      <c r="L55" t="s">
        <v>41</v>
      </c>
      <c r="M55">
        <v>1</v>
      </c>
      <c r="N55" t="s">
        <v>49</v>
      </c>
      <c r="O55" s="6" t="str">
        <f t="shared" si="19"/>
        <v>BXX</v>
      </c>
      <c r="P55" t="s">
        <v>1</v>
      </c>
      <c r="Q55" s="6" t="str">
        <f>$A$3&amp;".PB_AE.DE"</f>
        <v>BXX_DEV1_DM1.PB_AE.DE</v>
      </c>
      <c r="R55" t="s">
        <v>1</v>
      </c>
      <c r="S55" s="6" t="str">
        <f t="shared" si="16"/>
        <v>Sample Motor Alarms Dialer Enable</v>
      </c>
      <c r="T55">
        <v>0</v>
      </c>
      <c r="U55">
        <v>0</v>
      </c>
    </row>
    <row r="56" spans="1:21" x14ac:dyDescent="0.25">
      <c r="A56" s="3" t="str">
        <f>$A$3&amp;"_"&amp;"PB_SU_SR"</f>
        <v>BXX_DEV1_DM1_PB_SU_SR</v>
      </c>
      <c r="B56" s="6" t="str">
        <f t="shared" si="2"/>
        <v>BXX_DEV1_DM1</v>
      </c>
      <c r="C56" s="6" t="str">
        <f>$C$3 &amp; " Uncomm. Start Sup En"</f>
        <v>Sample Motor Uncomm. Start Sup En</v>
      </c>
      <c r="D56" s="4">
        <f t="shared" si="4"/>
        <v>33</v>
      </c>
      <c r="E56" t="s">
        <v>1</v>
      </c>
      <c r="F56" t="s">
        <v>0</v>
      </c>
      <c r="G56" s="2">
        <v>600</v>
      </c>
      <c r="H56" t="s">
        <v>0</v>
      </c>
      <c r="I56" t="s">
        <v>40</v>
      </c>
      <c r="J56" t="s">
        <v>52</v>
      </c>
      <c r="K56" t="s">
        <v>53</v>
      </c>
      <c r="L56" t="s">
        <v>41</v>
      </c>
      <c r="M56">
        <v>1</v>
      </c>
      <c r="N56" t="s">
        <v>49</v>
      </c>
      <c r="O56" s="6" t="str">
        <f t="shared" si="19"/>
        <v>BXX</v>
      </c>
      <c r="P56" t="s">
        <v>1</v>
      </c>
      <c r="Q56" s="6" t="str">
        <f>$A$3&amp;".PB_SU.SR"</f>
        <v>BXX_DEV1_DM1.PB_SU.SR</v>
      </c>
      <c r="R56" t="s">
        <v>1</v>
      </c>
      <c r="S56" s="6" t="str">
        <f t="shared" si="16"/>
        <v>Sample Motor Uncomm. Start Sup En</v>
      </c>
      <c r="T56">
        <v>0</v>
      </c>
      <c r="U56">
        <v>0</v>
      </c>
    </row>
    <row r="57" spans="1:21" x14ac:dyDescent="0.25">
      <c r="A57" s="3" t="str">
        <f>$A$3&amp;"_"&amp;"PB_SF_SR"</f>
        <v>BXX_DEV1_DM1_PB_SF_SR</v>
      </c>
      <c r="B57" s="6" t="str">
        <f t="shared" si="2"/>
        <v>BXX_DEV1_DM1</v>
      </c>
      <c r="C57" s="6" t="str">
        <f>$C$3 &amp; " Failed To Start Sup En"</f>
        <v>Sample Motor Failed To Start Sup En</v>
      </c>
      <c r="D57" s="4">
        <f t="shared" si="4"/>
        <v>35</v>
      </c>
      <c r="E57" t="s">
        <v>1</v>
      </c>
      <c r="F57" t="s">
        <v>0</v>
      </c>
      <c r="G57" s="2">
        <v>600</v>
      </c>
      <c r="H57" t="s">
        <v>0</v>
      </c>
      <c r="I57" t="s">
        <v>40</v>
      </c>
      <c r="J57" t="s">
        <v>52</v>
      </c>
      <c r="K57" t="s">
        <v>53</v>
      </c>
      <c r="L57" t="s">
        <v>41</v>
      </c>
      <c r="M57">
        <v>1</v>
      </c>
      <c r="N57" t="s">
        <v>49</v>
      </c>
      <c r="O57" s="6" t="str">
        <f t="shared" si="19"/>
        <v>BXX</v>
      </c>
      <c r="P57" t="s">
        <v>1</v>
      </c>
      <c r="Q57" s="6" t="str">
        <f>$A$3&amp;".PB_SF.SR"</f>
        <v>BXX_DEV1_DM1.PB_SF.SR</v>
      </c>
      <c r="R57" t="s">
        <v>1</v>
      </c>
      <c r="S57" s="6" t="str">
        <f t="shared" si="16"/>
        <v>Sample Motor Failed To Start Sup En</v>
      </c>
      <c r="T57">
        <v>0</v>
      </c>
      <c r="U57">
        <v>0</v>
      </c>
    </row>
    <row r="58" spans="1:21" x14ac:dyDescent="0.25">
      <c r="A58" s="3" t="str">
        <f>$A$3&amp;"_"&amp;"PB_XF_SR"</f>
        <v>BXX_DEV1_DM1_PB_XF_SR</v>
      </c>
      <c r="B58" s="6" t="str">
        <f t="shared" si="2"/>
        <v>BXX_DEV1_DM1</v>
      </c>
      <c r="C58" s="6" t="str">
        <f>$C$3 &amp; " Failed To Stop Sup En"</f>
        <v>Sample Motor Failed To Stop Sup En</v>
      </c>
      <c r="D58" s="4">
        <f t="shared" si="4"/>
        <v>34</v>
      </c>
      <c r="E58" t="s">
        <v>1</v>
      </c>
      <c r="F58" t="s">
        <v>0</v>
      </c>
      <c r="G58" s="2">
        <v>600</v>
      </c>
      <c r="H58" t="s">
        <v>0</v>
      </c>
      <c r="I58" t="s">
        <v>40</v>
      </c>
      <c r="J58" t="s">
        <v>52</v>
      </c>
      <c r="K58" t="s">
        <v>53</v>
      </c>
      <c r="L58" t="s">
        <v>41</v>
      </c>
      <c r="M58">
        <v>1</v>
      </c>
      <c r="N58" t="s">
        <v>49</v>
      </c>
      <c r="O58" s="6" t="str">
        <f t="shared" si="19"/>
        <v>BXX</v>
      </c>
      <c r="P58" t="s">
        <v>1</v>
      </c>
      <c r="Q58" s="6" t="str">
        <f>$A$3&amp;".PB_XF.SR"</f>
        <v>BXX_DEV1_DM1.PB_XF.SR</v>
      </c>
      <c r="R58" t="s">
        <v>1</v>
      </c>
      <c r="S58" s="6" t="str">
        <f t="shared" si="16"/>
        <v>Sample Motor Failed To Stop Sup En</v>
      </c>
      <c r="T58">
        <v>0</v>
      </c>
      <c r="U58">
        <v>0</v>
      </c>
    </row>
    <row r="59" spans="1:21" x14ac:dyDescent="0.25">
      <c r="A59" s="3" t="str">
        <f>$A$3&amp;"_"&amp;"PB_XU_SR"</f>
        <v>BXX_DEV1_DM1_PB_XU_SR</v>
      </c>
      <c r="B59" s="6" t="str">
        <f t="shared" si="2"/>
        <v>BXX_DEV1_DM1</v>
      </c>
      <c r="C59" s="6" t="str">
        <f>$C$3 &amp; " Uncomm. Stop Sup En"</f>
        <v>Sample Motor Uncomm. Stop Sup En</v>
      </c>
      <c r="D59" s="4">
        <f t="shared" si="4"/>
        <v>32</v>
      </c>
      <c r="E59" t="s">
        <v>1</v>
      </c>
      <c r="F59" t="s">
        <v>0</v>
      </c>
      <c r="G59" s="2">
        <v>600</v>
      </c>
      <c r="H59" t="s">
        <v>0</v>
      </c>
      <c r="I59" t="s">
        <v>40</v>
      </c>
      <c r="J59" t="s">
        <v>52</v>
      </c>
      <c r="K59" t="s">
        <v>53</v>
      </c>
      <c r="L59" t="s">
        <v>41</v>
      </c>
      <c r="M59">
        <v>1</v>
      </c>
      <c r="N59" t="s">
        <v>49</v>
      </c>
      <c r="O59" s="6" t="str">
        <f t="shared" si="19"/>
        <v>BXX</v>
      </c>
      <c r="P59" t="s">
        <v>1</v>
      </c>
      <c r="Q59" s="6" t="str">
        <f>$A$3&amp;".PB_XU.SR"</f>
        <v>BXX_DEV1_DM1.PB_XU.SR</v>
      </c>
      <c r="R59" t="s">
        <v>1</v>
      </c>
      <c r="S59" s="6" t="str">
        <f t="shared" si="16"/>
        <v>Sample Motor Uncomm. Stop Sup En</v>
      </c>
      <c r="T59">
        <v>0</v>
      </c>
      <c r="U59">
        <v>0</v>
      </c>
    </row>
    <row r="60" spans="1:21" x14ac:dyDescent="0.25">
      <c r="A60" s="3" t="str">
        <f>$A$3&amp;"_"&amp;"PB_AE_SR"</f>
        <v>BXX_DEV1_DM1_PB_AE_SR</v>
      </c>
      <c r="B60" s="6" t="str">
        <f t="shared" si="2"/>
        <v>BXX_DEV1_DM1</v>
      </c>
      <c r="C60" s="6" t="str">
        <f>$C$3 &amp; " Alarms Sup Enable"</f>
        <v>Sample Motor Alarms Sup Enable</v>
      </c>
      <c r="D60" s="4">
        <f t="shared" si="4"/>
        <v>30</v>
      </c>
      <c r="E60" t="s">
        <v>1</v>
      </c>
      <c r="F60" t="s">
        <v>0</v>
      </c>
      <c r="G60" s="2">
        <v>600</v>
      </c>
      <c r="H60" t="s">
        <v>0</v>
      </c>
      <c r="I60" t="s">
        <v>40</v>
      </c>
      <c r="J60" t="s">
        <v>52</v>
      </c>
      <c r="K60" t="s">
        <v>53</v>
      </c>
      <c r="L60" t="s">
        <v>41</v>
      </c>
      <c r="M60">
        <v>1</v>
      </c>
      <c r="N60" t="s">
        <v>49</v>
      </c>
      <c r="O60" s="6" t="str">
        <f t="shared" si="19"/>
        <v>BXX</v>
      </c>
      <c r="P60" t="s">
        <v>1</v>
      </c>
      <c r="Q60" s="6" t="str">
        <f>$A$3&amp;".PB_AE.SR"</f>
        <v>BXX_DEV1_DM1.PB_AE.SR</v>
      </c>
      <c r="R60" t="s">
        <v>1</v>
      </c>
      <c r="S60" s="6" t="str">
        <f t="shared" si="16"/>
        <v>Sample Motor Alarms Sup Enable</v>
      </c>
      <c r="T60">
        <v>0</v>
      </c>
      <c r="U60">
        <v>0</v>
      </c>
    </row>
    <row r="61" spans="1:21" x14ac:dyDescent="0.25">
      <c r="A61" s="3" t="str">
        <f>$A$5&amp;"_"&amp;"DI_SC"</f>
        <v>BXX_DEV1_SI1_DI_SC</v>
      </c>
      <c r="B61" s="6" t="str">
        <f>$A$5</f>
        <v>BXX_DEV1_SI1</v>
      </c>
      <c r="C61" s="6" t="str">
        <f>$C$5 &amp; " Scan Status"</f>
        <v>Sample Motor Speed Scan Status</v>
      </c>
      <c r="D61" s="4">
        <f t="shared" si="4"/>
        <v>30</v>
      </c>
      <c r="E61" t="s">
        <v>1</v>
      </c>
      <c r="F61" t="s">
        <v>0</v>
      </c>
      <c r="G61" s="2">
        <v>700</v>
      </c>
      <c r="H61" t="s">
        <v>0</v>
      </c>
      <c r="I61" t="s">
        <v>40</v>
      </c>
      <c r="J61" t="s">
        <v>53</v>
      </c>
      <c r="K61" t="s">
        <v>52</v>
      </c>
      <c r="L61" t="s">
        <v>41</v>
      </c>
      <c r="M61">
        <v>1</v>
      </c>
      <c r="N61" t="s">
        <v>49</v>
      </c>
      <c r="O61" s="6" t="str">
        <f>$O$9</f>
        <v>BXX</v>
      </c>
      <c r="P61" t="s">
        <v>1</v>
      </c>
      <c r="Q61" s="6" t="str">
        <f>$A$5&amp;".DI_SC"</f>
        <v>BXX_DEV1_SI1.DI_SC</v>
      </c>
      <c r="R61" t="s">
        <v>1</v>
      </c>
      <c r="S61" s="6" t="str">
        <f t="shared" si="16"/>
        <v>Sample Motor Speed Scan Status</v>
      </c>
      <c r="T61">
        <v>0</v>
      </c>
      <c r="U61">
        <v>0</v>
      </c>
    </row>
    <row r="62" spans="1:21" x14ac:dyDescent="0.25">
      <c r="A62" s="3" t="str">
        <f>$A$5&amp;"_"&amp;"PB_SC"</f>
        <v>BXX_DEV1_SI1_PB_SC</v>
      </c>
      <c r="B62" s="6" t="str">
        <f t="shared" ref="B62:B67" si="20">$A$5</f>
        <v>BXX_DEV1_SI1</v>
      </c>
      <c r="C62" s="6" t="str">
        <f>$C$5 &amp; " Scan Enable"</f>
        <v>Sample Motor Speed Scan Enable</v>
      </c>
      <c r="D62" s="4">
        <f t="shared" si="4"/>
        <v>30</v>
      </c>
      <c r="E62" t="s">
        <v>1</v>
      </c>
      <c r="F62" t="s">
        <v>0</v>
      </c>
      <c r="G62" s="2">
        <v>600</v>
      </c>
      <c r="H62" t="s">
        <v>0</v>
      </c>
      <c r="I62" t="s">
        <v>40</v>
      </c>
      <c r="J62" t="s">
        <v>40</v>
      </c>
      <c r="K62" t="s">
        <v>42</v>
      </c>
      <c r="L62" t="s">
        <v>41</v>
      </c>
      <c r="M62">
        <v>1</v>
      </c>
      <c r="N62" t="s">
        <v>49</v>
      </c>
      <c r="O62" s="6" t="str">
        <f t="shared" ref="O62:O120" si="21">$O$9</f>
        <v>BXX</v>
      </c>
      <c r="P62" t="s">
        <v>1</v>
      </c>
      <c r="Q62" s="6" t="str">
        <f>$A$5&amp;".PB_SC"</f>
        <v>BXX_DEV1_SI1.PB_SC</v>
      </c>
      <c r="R62" t="s">
        <v>1</v>
      </c>
      <c r="S62" s="6" t="str">
        <f t="shared" si="16"/>
        <v>Sample Motor Speed Scan Enable</v>
      </c>
      <c r="T62">
        <v>0</v>
      </c>
      <c r="U62">
        <v>0</v>
      </c>
    </row>
    <row r="63" spans="1:21" x14ac:dyDescent="0.25">
      <c r="A63" s="3" t="str">
        <f>$A$5&amp;"_"&amp;"DA_ER"</f>
        <v>BXX_DEV1_SI1_DA_ER</v>
      </c>
      <c r="B63" s="6" t="str">
        <f t="shared" si="20"/>
        <v>BXX_DEV1_SI1</v>
      </c>
      <c r="C63" s="6" t="str">
        <f>$C$5 &amp; " Signal Error"</f>
        <v>Sample Motor Speed Signal Error</v>
      </c>
      <c r="D63" s="4">
        <f t="shared" si="4"/>
        <v>31</v>
      </c>
      <c r="E63" t="s">
        <v>1</v>
      </c>
      <c r="F63" t="s">
        <v>1</v>
      </c>
      <c r="G63">
        <v>0</v>
      </c>
      <c r="H63" t="s">
        <v>0</v>
      </c>
      <c r="I63" t="s">
        <v>40</v>
      </c>
      <c r="J63" t="s">
        <v>54</v>
      </c>
      <c r="K63" t="s">
        <v>51</v>
      </c>
      <c r="L63" t="s">
        <v>42</v>
      </c>
      <c r="M63" s="2">
        <v>94</v>
      </c>
      <c r="N63" t="s">
        <v>49</v>
      </c>
      <c r="O63" s="6" t="str">
        <f t="shared" si="21"/>
        <v>BXX</v>
      </c>
      <c r="P63" t="s">
        <v>1</v>
      </c>
      <c r="Q63" s="6" t="str">
        <f>$A$5&amp;".DA_ER"</f>
        <v>BXX_DEV1_SI1.DA_ER</v>
      </c>
      <c r="R63" t="s">
        <v>1</v>
      </c>
      <c r="S63" s="6" t="str">
        <f t="shared" si="16"/>
        <v>Sample Motor Speed Signal Error</v>
      </c>
      <c r="T63">
        <v>0</v>
      </c>
      <c r="U63">
        <v>0</v>
      </c>
    </row>
    <row r="64" spans="1:21" x14ac:dyDescent="0.25">
      <c r="A64" s="3" t="str">
        <f>$A$5&amp;"_"&amp;"PB_ER"</f>
        <v>BXX_DEV1_SI1_PB_ER</v>
      </c>
      <c r="B64" s="6" t="str">
        <f t="shared" si="20"/>
        <v>BXX_DEV1_SI1</v>
      </c>
      <c r="C64" s="6" t="str">
        <f>$C$5 &amp; " Sig Error Alarm En"</f>
        <v>Sample Motor Speed Sig Error Alarm En</v>
      </c>
      <c r="D64" s="4">
        <f t="shared" si="4"/>
        <v>37</v>
      </c>
      <c r="E64" t="s">
        <v>1</v>
      </c>
      <c r="F64" t="s">
        <v>0</v>
      </c>
      <c r="G64" s="2">
        <v>600</v>
      </c>
      <c r="H64" t="s">
        <v>0</v>
      </c>
      <c r="I64" t="s">
        <v>40</v>
      </c>
      <c r="J64" t="s">
        <v>52</v>
      </c>
      <c r="K64" t="s">
        <v>53</v>
      </c>
      <c r="L64" t="s">
        <v>41</v>
      </c>
      <c r="M64">
        <v>1</v>
      </c>
      <c r="N64" t="s">
        <v>49</v>
      </c>
      <c r="O64" s="6" t="str">
        <f t="shared" si="21"/>
        <v>BXX</v>
      </c>
      <c r="P64" t="s">
        <v>1</v>
      </c>
      <c r="Q64" s="6" t="str">
        <f>$A$5&amp;".PB_ER.RE"</f>
        <v>BXX_DEV1_SI1.PB_ER.RE</v>
      </c>
      <c r="R64" t="s">
        <v>1</v>
      </c>
      <c r="S64" s="6" t="str">
        <f t="shared" si="16"/>
        <v>Sample Motor Speed Sig Error Alarm En</v>
      </c>
      <c r="T64">
        <v>0</v>
      </c>
      <c r="U64">
        <v>0</v>
      </c>
    </row>
    <row r="65" spans="1:21" x14ac:dyDescent="0.25">
      <c r="A65" s="3" t="str">
        <f>$A$5&amp;"_"&amp;"PB_SV"</f>
        <v>BXX_DEV1_SI1_PB_SV</v>
      </c>
      <c r="B65" s="6" t="str">
        <f t="shared" si="20"/>
        <v>BXX_DEV1_SI1</v>
      </c>
      <c r="C65" s="6" t="str">
        <f>$C$5 &amp; " Override Enable"</f>
        <v>Sample Motor Speed Override Enable</v>
      </c>
      <c r="D65" s="4">
        <f t="shared" si="4"/>
        <v>34</v>
      </c>
      <c r="E65" t="s">
        <v>1</v>
      </c>
      <c r="F65" t="s">
        <v>0</v>
      </c>
      <c r="G65" s="2">
        <v>600</v>
      </c>
      <c r="H65" t="s">
        <v>0</v>
      </c>
      <c r="I65" t="s">
        <v>40</v>
      </c>
      <c r="J65" t="s">
        <v>40</v>
      </c>
      <c r="K65" t="s">
        <v>42</v>
      </c>
      <c r="L65" t="s">
        <v>41</v>
      </c>
      <c r="M65">
        <v>1</v>
      </c>
      <c r="N65" t="s">
        <v>49</v>
      </c>
      <c r="O65" s="6" t="str">
        <f t="shared" si="21"/>
        <v>BXX</v>
      </c>
      <c r="P65" t="s">
        <v>1</v>
      </c>
      <c r="Q65" s="6" t="str">
        <f>$A$5&amp;".PB_SV"</f>
        <v>BXX_DEV1_SI1.PB_SV</v>
      </c>
      <c r="R65" t="s">
        <v>1</v>
      </c>
      <c r="S65" s="6" t="str">
        <f t="shared" si="16"/>
        <v>Sample Motor Speed Override Enable</v>
      </c>
      <c r="T65">
        <v>0</v>
      </c>
      <c r="U65">
        <v>0</v>
      </c>
    </row>
    <row r="66" spans="1:21" x14ac:dyDescent="0.25">
      <c r="A66" s="3" t="str">
        <f>$A$5&amp;"_"&amp;"DA_ZA"</f>
        <v>BXX_DEV1_SI1_DA_ZA</v>
      </c>
      <c r="B66" s="6" t="str">
        <f t="shared" si="20"/>
        <v>BXX_DEV1_SI1</v>
      </c>
      <c r="C66" s="6" t="str">
        <f>$C$5 &amp; " Deviation Alarm"</f>
        <v>Sample Motor Speed Deviation Alarm</v>
      </c>
      <c r="D66" s="4">
        <f t="shared" ref="D66:D74" si="22">LEN(C66)</f>
        <v>34</v>
      </c>
      <c r="E66" t="s">
        <v>1</v>
      </c>
      <c r="F66" t="s">
        <v>1</v>
      </c>
      <c r="G66">
        <v>0</v>
      </c>
      <c r="H66" t="s">
        <v>0</v>
      </c>
      <c r="I66" t="s">
        <v>40</v>
      </c>
      <c r="J66" t="s">
        <v>54</v>
      </c>
      <c r="K66" t="s">
        <v>51</v>
      </c>
      <c r="L66" t="s">
        <v>42</v>
      </c>
      <c r="M66" s="2">
        <v>94</v>
      </c>
      <c r="N66" t="s">
        <v>49</v>
      </c>
      <c r="O66" s="6" t="str">
        <f t="shared" si="21"/>
        <v>BXX</v>
      </c>
      <c r="P66" t="s">
        <v>1</v>
      </c>
      <c r="Q66" s="6" t="str">
        <f>$A$5&amp;".DA_ZA"</f>
        <v>BXX_DEV1_SI1.DA_ZA</v>
      </c>
      <c r="R66" t="s">
        <v>1</v>
      </c>
      <c r="S66" s="6" t="str">
        <f t="shared" si="16"/>
        <v>Sample Motor Speed Deviation Alarm</v>
      </c>
      <c r="T66">
        <v>0</v>
      </c>
      <c r="U66">
        <v>0</v>
      </c>
    </row>
    <row r="67" spans="1:21" x14ac:dyDescent="0.25">
      <c r="A67" s="3" t="str">
        <f>$A$5&amp;"_"&amp;"PB_ZA"</f>
        <v>BXX_DEV1_SI1_PB_ZA</v>
      </c>
      <c r="B67" s="6" t="str">
        <f t="shared" si="20"/>
        <v>BXX_DEV1_SI1</v>
      </c>
      <c r="C67" s="6" t="str">
        <f>$C$5 &amp; " Deviation Alarm En"</f>
        <v>Sample Motor Speed Deviation Alarm En</v>
      </c>
      <c r="D67" s="4">
        <f t="shared" si="22"/>
        <v>37</v>
      </c>
      <c r="E67" t="s">
        <v>1</v>
      </c>
      <c r="F67" t="s">
        <v>0</v>
      </c>
      <c r="G67" s="2">
        <v>600</v>
      </c>
      <c r="H67" t="s">
        <v>0</v>
      </c>
      <c r="I67" t="s">
        <v>40</v>
      </c>
      <c r="J67" t="s">
        <v>52</v>
      </c>
      <c r="K67" t="s">
        <v>53</v>
      </c>
      <c r="L67" t="s">
        <v>41</v>
      </c>
      <c r="M67">
        <v>1</v>
      </c>
      <c r="N67" t="s">
        <v>49</v>
      </c>
      <c r="O67" s="6" t="str">
        <f t="shared" si="21"/>
        <v>BXX</v>
      </c>
      <c r="P67" t="s">
        <v>1</v>
      </c>
      <c r="Q67" s="6" t="str">
        <f>$A$5&amp;".PB_ZA.RE"</f>
        <v>BXX_DEV1_SI1.PB_ZA.RE</v>
      </c>
      <c r="R67" t="s">
        <v>1</v>
      </c>
      <c r="S67" s="6" t="str">
        <f t="shared" si="16"/>
        <v>Sample Motor Speed Deviation Alarm En</v>
      </c>
      <c r="T67">
        <v>0</v>
      </c>
      <c r="U67">
        <v>0</v>
      </c>
    </row>
    <row r="68" spans="1:21" x14ac:dyDescent="0.25">
      <c r="A68" s="3" t="str">
        <f>$A$5&amp;"_"&amp;"PB_ZA_DE"</f>
        <v>BXX_DEV1_SI1_PB_ZA_DE</v>
      </c>
      <c r="B68" s="6" t="str">
        <f>$A$5</f>
        <v>BXX_DEV1_SI1</v>
      </c>
      <c r="C68" s="6" t="str">
        <f>$C$3 &amp; " Deviation Dialer Enable"</f>
        <v>Sample Motor Deviation Dialer Enable</v>
      </c>
      <c r="D68" s="4">
        <f t="shared" si="22"/>
        <v>36</v>
      </c>
      <c r="E68" t="s">
        <v>1</v>
      </c>
      <c r="F68" t="s">
        <v>0</v>
      </c>
      <c r="G68" s="2">
        <v>600</v>
      </c>
      <c r="H68" t="s">
        <v>0</v>
      </c>
      <c r="I68" t="s">
        <v>40</v>
      </c>
      <c r="J68" t="s">
        <v>52</v>
      </c>
      <c r="K68" t="s">
        <v>53</v>
      </c>
      <c r="L68" t="s">
        <v>41</v>
      </c>
      <c r="M68">
        <v>1</v>
      </c>
      <c r="N68" t="s">
        <v>49</v>
      </c>
      <c r="O68" s="6" t="str">
        <f t="shared" si="21"/>
        <v>BXX</v>
      </c>
      <c r="P68" t="s">
        <v>1</v>
      </c>
      <c r="Q68" s="6" t="str">
        <f>$A$5&amp;".PB_ZA.DE"</f>
        <v>BXX_DEV1_SI1.PB_ZA.DE</v>
      </c>
      <c r="R68" t="s">
        <v>1</v>
      </c>
      <c r="S68" s="6" t="str">
        <f t="shared" si="16"/>
        <v>Sample Motor Deviation Dialer Enable</v>
      </c>
      <c r="T68">
        <v>0</v>
      </c>
      <c r="U68">
        <v>0</v>
      </c>
    </row>
    <row r="69" spans="1:21" x14ac:dyDescent="0.25">
      <c r="A69" s="3" t="str">
        <f>$A$5&amp;"_"&amp;"PB_ZA_SR"</f>
        <v>BXX_DEV1_SI1_PB_ZA_SR</v>
      </c>
      <c r="B69" s="6" t="str">
        <f>$A$5</f>
        <v>BXX_DEV1_SI1</v>
      </c>
      <c r="C69" s="6" t="str">
        <f>$C$3 &amp; " Deviation Sup Enable"</f>
        <v>Sample Motor Deviation Sup Enable</v>
      </c>
      <c r="D69" s="4">
        <f t="shared" si="22"/>
        <v>33</v>
      </c>
      <c r="E69" t="s">
        <v>1</v>
      </c>
      <c r="F69" t="s">
        <v>0</v>
      </c>
      <c r="G69" s="2">
        <v>600</v>
      </c>
      <c r="H69" t="s">
        <v>0</v>
      </c>
      <c r="I69" t="s">
        <v>40</v>
      </c>
      <c r="J69" t="s">
        <v>52</v>
      </c>
      <c r="K69" t="s">
        <v>53</v>
      </c>
      <c r="L69" t="s">
        <v>41</v>
      </c>
      <c r="M69">
        <v>1</v>
      </c>
      <c r="N69" t="s">
        <v>49</v>
      </c>
      <c r="O69" s="6" t="str">
        <f t="shared" si="21"/>
        <v>BXX</v>
      </c>
      <c r="P69" t="s">
        <v>1</v>
      </c>
      <c r="Q69" s="6" t="str">
        <f>$A$5&amp;".PB_ZA.SR"</f>
        <v>BXX_DEV1_SI1.PB_ZA.SR</v>
      </c>
      <c r="R69" t="s">
        <v>1</v>
      </c>
      <c r="S69" s="6" t="str">
        <f t="shared" si="16"/>
        <v>Sample Motor Deviation Sup Enable</v>
      </c>
      <c r="T69">
        <v>0</v>
      </c>
      <c r="U69">
        <v>0</v>
      </c>
    </row>
    <row r="70" spans="1:21" x14ac:dyDescent="0.25">
      <c r="A70" s="3" t="str">
        <f>$A$6&amp;"_"&amp;"DI_SC"</f>
        <v>BXX_DEV1_SK1_DI_SC</v>
      </c>
      <c r="B70" s="6" t="str">
        <f t="shared" ref="B70:B78" si="23">$A$6</f>
        <v>BXX_DEV1_SK1</v>
      </c>
      <c r="C70" s="6" t="str">
        <f>$C$6 &amp; " Scan Status"</f>
        <v>Sample Motor Stroke Scan Status</v>
      </c>
      <c r="D70" s="4">
        <f t="shared" si="22"/>
        <v>31</v>
      </c>
      <c r="E70" t="s">
        <v>1</v>
      </c>
      <c r="F70" t="s">
        <v>0</v>
      </c>
      <c r="G70" s="2">
        <v>700</v>
      </c>
      <c r="H70" t="s">
        <v>0</v>
      </c>
      <c r="I70" t="s">
        <v>40</v>
      </c>
      <c r="J70" t="s">
        <v>53</v>
      </c>
      <c r="K70" t="s">
        <v>52</v>
      </c>
      <c r="L70" t="s">
        <v>41</v>
      </c>
      <c r="M70">
        <v>1</v>
      </c>
      <c r="N70" t="s">
        <v>49</v>
      </c>
      <c r="O70" s="6" t="str">
        <f t="shared" si="21"/>
        <v>BXX</v>
      </c>
      <c r="P70" t="s">
        <v>1</v>
      </c>
      <c r="Q70" s="6" t="str">
        <f>$A$6&amp;".DI_SC"</f>
        <v>BXX_DEV1_SK1.DI_SC</v>
      </c>
      <c r="R70" t="s">
        <v>1</v>
      </c>
      <c r="S70" s="6" t="str">
        <f t="shared" si="16"/>
        <v>Sample Motor Stroke Scan Status</v>
      </c>
      <c r="T70">
        <v>0</v>
      </c>
      <c r="U70">
        <v>0</v>
      </c>
    </row>
    <row r="71" spans="1:21" x14ac:dyDescent="0.25">
      <c r="A71" s="3" t="str">
        <f>$A$6&amp;"_"&amp;"PB_SC"</f>
        <v>BXX_DEV1_SK1_PB_SC</v>
      </c>
      <c r="B71" s="6" t="str">
        <f t="shared" si="23"/>
        <v>BXX_DEV1_SK1</v>
      </c>
      <c r="C71" s="6" t="str">
        <f>$C$6 &amp; " Scan Enable"</f>
        <v>Sample Motor Stroke Scan Enable</v>
      </c>
      <c r="D71" s="4">
        <f t="shared" si="22"/>
        <v>31</v>
      </c>
      <c r="E71" t="s">
        <v>1</v>
      </c>
      <c r="F71" t="s">
        <v>0</v>
      </c>
      <c r="G71" s="2">
        <v>600</v>
      </c>
      <c r="H71" t="s">
        <v>0</v>
      </c>
      <c r="I71" t="s">
        <v>40</v>
      </c>
      <c r="J71" t="s">
        <v>40</v>
      </c>
      <c r="K71" t="s">
        <v>42</v>
      </c>
      <c r="L71" t="s">
        <v>41</v>
      </c>
      <c r="M71">
        <v>1</v>
      </c>
      <c r="N71" t="s">
        <v>49</v>
      </c>
      <c r="O71" s="6" t="str">
        <f t="shared" si="21"/>
        <v>BXX</v>
      </c>
      <c r="P71" t="s">
        <v>1</v>
      </c>
      <c r="Q71" s="6" t="str">
        <f>$A$6&amp;".PB_SC"</f>
        <v>BXX_DEV1_SK1.PB_SC</v>
      </c>
      <c r="R71" t="s">
        <v>1</v>
      </c>
      <c r="S71" s="6" t="str">
        <f t="shared" si="16"/>
        <v>Sample Motor Stroke Scan Enable</v>
      </c>
      <c r="T71">
        <v>0</v>
      </c>
      <c r="U71">
        <v>0</v>
      </c>
    </row>
    <row r="72" spans="1:21" x14ac:dyDescent="0.25">
      <c r="A72" s="3" t="str">
        <f>$A$6&amp;"_"&amp;"DA_ER"</f>
        <v>BXX_DEV1_SK1_DA_ER</v>
      </c>
      <c r="B72" s="6" t="str">
        <f t="shared" si="23"/>
        <v>BXX_DEV1_SK1</v>
      </c>
      <c r="C72" s="6" t="str">
        <f>$C$6 &amp; " Signal Error"</f>
        <v>Sample Motor Stroke Signal Error</v>
      </c>
      <c r="D72" s="4">
        <f t="shared" si="22"/>
        <v>32</v>
      </c>
      <c r="E72" t="s">
        <v>1</v>
      </c>
      <c r="F72" t="s">
        <v>1</v>
      </c>
      <c r="G72">
        <v>0</v>
      </c>
      <c r="H72" t="s">
        <v>0</v>
      </c>
      <c r="I72" t="s">
        <v>40</v>
      </c>
      <c r="J72" t="s">
        <v>54</v>
      </c>
      <c r="K72" t="s">
        <v>51</v>
      </c>
      <c r="L72" t="s">
        <v>42</v>
      </c>
      <c r="M72" s="2">
        <v>94</v>
      </c>
      <c r="N72" t="s">
        <v>49</v>
      </c>
      <c r="O72" s="6" t="str">
        <f t="shared" si="21"/>
        <v>BXX</v>
      </c>
      <c r="P72" t="s">
        <v>1</v>
      </c>
      <c r="Q72" s="6" t="str">
        <f>$A$6&amp;".DA_ER"</f>
        <v>BXX_DEV1_SK1.DA_ER</v>
      </c>
      <c r="R72" t="s">
        <v>1</v>
      </c>
      <c r="S72" s="6" t="str">
        <f t="shared" si="16"/>
        <v>Sample Motor Stroke Signal Error</v>
      </c>
      <c r="T72">
        <v>0</v>
      </c>
      <c r="U72">
        <v>0</v>
      </c>
    </row>
    <row r="73" spans="1:21" x14ac:dyDescent="0.25">
      <c r="A73" s="3" t="str">
        <f>$A$6&amp;"_"&amp;"PB_ER"</f>
        <v>BXX_DEV1_SK1_PB_ER</v>
      </c>
      <c r="B73" s="6" t="str">
        <f t="shared" si="23"/>
        <v>BXX_DEV1_SK1</v>
      </c>
      <c r="C73" s="6" t="str">
        <f>$C$6 &amp; " Sig Error Alarm En"</f>
        <v>Sample Motor Stroke Sig Error Alarm En</v>
      </c>
      <c r="D73" s="4">
        <f t="shared" si="22"/>
        <v>38</v>
      </c>
      <c r="E73" t="s">
        <v>1</v>
      </c>
      <c r="F73" t="s">
        <v>0</v>
      </c>
      <c r="G73" s="2">
        <v>600</v>
      </c>
      <c r="H73" t="s">
        <v>0</v>
      </c>
      <c r="I73" t="s">
        <v>40</v>
      </c>
      <c r="J73" t="s">
        <v>52</v>
      </c>
      <c r="K73" t="s">
        <v>53</v>
      </c>
      <c r="L73" t="s">
        <v>41</v>
      </c>
      <c r="M73">
        <v>1</v>
      </c>
      <c r="N73" t="s">
        <v>49</v>
      </c>
      <c r="O73" s="6" t="str">
        <f t="shared" si="21"/>
        <v>BXX</v>
      </c>
      <c r="P73" t="s">
        <v>1</v>
      </c>
      <c r="Q73" s="6" t="str">
        <f>$A$6&amp;".PB_ER.RE"</f>
        <v>BXX_DEV1_SK1.PB_ER.RE</v>
      </c>
      <c r="R73" t="s">
        <v>1</v>
      </c>
      <c r="S73" s="6" t="str">
        <f t="shared" ref="S73:S104" si="24">C73</f>
        <v>Sample Motor Stroke Sig Error Alarm En</v>
      </c>
      <c r="T73">
        <v>0</v>
      </c>
      <c r="U73">
        <v>0</v>
      </c>
    </row>
    <row r="74" spans="1:21" x14ac:dyDescent="0.25">
      <c r="A74" s="3" t="str">
        <f>$A$6&amp;"_"&amp;"PB_SV"</f>
        <v>BXX_DEV1_SK1_PB_SV</v>
      </c>
      <c r="B74" s="6" t="str">
        <f t="shared" si="23"/>
        <v>BXX_DEV1_SK1</v>
      </c>
      <c r="C74" s="6" t="str">
        <f>$C$6 &amp; " Override Enable"</f>
        <v>Sample Motor Stroke Override Enable</v>
      </c>
      <c r="D74" s="4">
        <f t="shared" si="22"/>
        <v>35</v>
      </c>
      <c r="E74" t="s">
        <v>1</v>
      </c>
      <c r="F74" t="s">
        <v>0</v>
      </c>
      <c r="G74" s="2">
        <v>600</v>
      </c>
      <c r="H74" t="s">
        <v>0</v>
      </c>
      <c r="I74" t="s">
        <v>40</v>
      </c>
      <c r="J74" t="s">
        <v>40</v>
      </c>
      <c r="K74" t="s">
        <v>42</v>
      </c>
      <c r="L74" t="s">
        <v>41</v>
      </c>
      <c r="M74">
        <v>1</v>
      </c>
      <c r="N74" t="s">
        <v>49</v>
      </c>
      <c r="O74" s="6" t="str">
        <f t="shared" si="21"/>
        <v>BXX</v>
      </c>
      <c r="P74" t="s">
        <v>1</v>
      </c>
      <c r="Q74" s="6" t="str">
        <f>$A$6&amp;".PB_SV"</f>
        <v>BXX_DEV1_SK1.PB_SV</v>
      </c>
      <c r="R74" t="s">
        <v>1</v>
      </c>
      <c r="S74" s="6" t="str">
        <f t="shared" si="24"/>
        <v>Sample Motor Stroke Override Enable</v>
      </c>
      <c r="T74">
        <v>0</v>
      </c>
      <c r="U74">
        <v>0</v>
      </c>
    </row>
    <row r="75" spans="1:21" x14ac:dyDescent="0.25">
      <c r="A75" s="3" t="str">
        <f>$A$6&amp;"_"&amp;"DA_ZA"</f>
        <v>BXX_DEV1_SK1_DA_ZA</v>
      </c>
      <c r="B75" s="6" t="str">
        <f t="shared" si="23"/>
        <v>BXX_DEV1_SK1</v>
      </c>
      <c r="C75" s="6" t="str">
        <f>$C$6 &amp; " Deviation Alarm"</f>
        <v>Sample Motor Stroke Deviation Alarm</v>
      </c>
      <c r="D75" s="4">
        <f t="shared" ref="D75:D92" si="25">LEN(C75)</f>
        <v>35</v>
      </c>
      <c r="E75" t="s">
        <v>1</v>
      </c>
      <c r="F75" t="s">
        <v>1</v>
      </c>
      <c r="G75">
        <v>0</v>
      </c>
      <c r="H75" t="s">
        <v>0</v>
      </c>
      <c r="I75" t="s">
        <v>40</v>
      </c>
      <c r="J75" t="s">
        <v>54</v>
      </c>
      <c r="K75" t="s">
        <v>51</v>
      </c>
      <c r="L75" t="s">
        <v>42</v>
      </c>
      <c r="M75" s="2">
        <v>94</v>
      </c>
      <c r="N75" t="s">
        <v>49</v>
      </c>
      <c r="O75" s="6" t="str">
        <f t="shared" si="21"/>
        <v>BXX</v>
      </c>
      <c r="P75" t="s">
        <v>1</v>
      </c>
      <c r="Q75" s="6" t="str">
        <f>$A$6&amp;".DA_ZA"</f>
        <v>BXX_DEV1_SK1.DA_ZA</v>
      </c>
      <c r="R75" t="s">
        <v>1</v>
      </c>
      <c r="S75" s="6" t="str">
        <f t="shared" si="24"/>
        <v>Sample Motor Stroke Deviation Alarm</v>
      </c>
      <c r="T75">
        <v>0</v>
      </c>
      <c r="U75">
        <v>0</v>
      </c>
    </row>
    <row r="76" spans="1:21" x14ac:dyDescent="0.25">
      <c r="A76" s="3" t="str">
        <f>$A$6&amp;"_"&amp;"PB_ZA"</f>
        <v>BXX_DEV1_SK1_PB_ZA</v>
      </c>
      <c r="B76" s="6" t="str">
        <f t="shared" si="23"/>
        <v>BXX_DEV1_SK1</v>
      </c>
      <c r="C76" s="6" t="str">
        <f>$C$6 &amp; " Deviation Alarm En"</f>
        <v>Sample Motor Stroke Deviation Alarm En</v>
      </c>
      <c r="D76" s="4">
        <f t="shared" si="25"/>
        <v>38</v>
      </c>
      <c r="E76" t="s">
        <v>1</v>
      </c>
      <c r="F76" t="s">
        <v>0</v>
      </c>
      <c r="G76" s="2">
        <v>600</v>
      </c>
      <c r="H76" t="s">
        <v>0</v>
      </c>
      <c r="I76" t="s">
        <v>40</v>
      </c>
      <c r="J76" t="s">
        <v>52</v>
      </c>
      <c r="K76" t="s">
        <v>53</v>
      </c>
      <c r="L76" t="s">
        <v>41</v>
      </c>
      <c r="M76">
        <v>1</v>
      </c>
      <c r="N76" t="s">
        <v>49</v>
      </c>
      <c r="O76" s="6" t="str">
        <f t="shared" si="21"/>
        <v>BXX</v>
      </c>
      <c r="P76" t="s">
        <v>1</v>
      </c>
      <c r="Q76" s="6" t="str">
        <f>$A$6&amp;".PB_ZA.RE"</f>
        <v>BXX_DEV1_SK1.PB_ZA.RE</v>
      </c>
      <c r="R76" t="s">
        <v>1</v>
      </c>
      <c r="S76" s="6" t="str">
        <f t="shared" si="24"/>
        <v>Sample Motor Stroke Deviation Alarm En</v>
      </c>
      <c r="T76">
        <v>0</v>
      </c>
      <c r="U76">
        <v>0</v>
      </c>
    </row>
    <row r="77" spans="1:21" x14ac:dyDescent="0.25">
      <c r="A77" s="3" t="str">
        <f>$A$6&amp;"_"&amp;"PB_ZA_DE"</f>
        <v>BXX_DEV1_SK1_PB_ZA_DE</v>
      </c>
      <c r="B77" s="6" t="str">
        <f t="shared" si="23"/>
        <v>BXX_DEV1_SK1</v>
      </c>
      <c r="C77" s="6" t="str">
        <f>$C$6 &amp; " Deviation Dialer Enable"</f>
        <v>Sample Motor Stroke Deviation Dialer Enable</v>
      </c>
      <c r="D77" s="4">
        <f t="shared" si="25"/>
        <v>43</v>
      </c>
      <c r="E77" t="s">
        <v>1</v>
      </c>
      <c r="F77" t="s">
        <v>0</v>
      </c>
      <c r="G77" s="2">
        <v>600</v>
      </c>
      <c r="H77" t="s">
        <v>0</v>
      </c>
      <c r="I77" t="s">
        <v>40</v>
      </c>
      <c r="J77" t="s">
        <v>52</v>
      </c>
      <c r="K77" t="s">
        <v>53</v>
      </c>
      <c r="L77" t="s">
        <v>41</v>
      </c>
      <c r="M77">
        <v>1</v>
      </c>
      <c r="N77" t="s">
        <v>49</v>
      </c>
      <c r="O77" s="6" t="str">
        <f t="shared" si="21"/>
        <v>BXX</v>
      </c>
      <c r="P77" t="s">
        <v>1</v>
      </c>
      <c r="Q77" s="6" t="str">
        <f>$A$6&amp;".PB_ZA.DE"</f>
        <v>BXX_DEV1_SK1.PB_ZA.DE</v>
      </c>
      <c r="R77" t="s">
        <v>1</v>
      </c>
      <c r="S77" s="6" t="str">
        <f t="shared" si="24"/>
        <v>Sample Motor Stroke Deviation Dialer Enable</v>
      </c>
      <c r="T77">
        <v>0</v>
      </c>
      <c r="U77">
        <v>0</v>
      </c>
    </row>
    <row r="78" spans="1:21" x14ac:dyDescent="0.25">
      <c r="A78" s="3" t="str">
        <f>$A$6&amp;"_"&amp;"PB_ZA_SR"</f>
        <v>BXX_DEV1_SK1_PB_ZA_SR</v>
      </c>
      <c r="B78" s="6" t="str">
        <f t="shared" si="23"/>
        <v>BXX_DEV1_SK1</v>
      </c>
      <c r="C78" s="6" t="str">
        <f>$C$6 &amp; " Deviation Sup Enable"</f>
        <v>Sample Motor Stroke Deviation Sup Enable</v>
      </c>
      <c r="D78" s="4">
        <f t="shared" si="25"/>
        <v>40</v>
      </c>
      <c r="E78" t="s">
        <v>1</v>
      </c>
      <c r="F78" t="s">
        <v>0</v>
      </c>
      <c r="G78" s="2">
        <v>600</v>
      </c>
      <c r="H78" t="s">
        <v>0</v>
      </c>
      <c r="I78" t="s">
        <v>40</v>
      </c>
      <c r="J78" t="s">
        <v>52</v>
      </c>
      <c r="K78" t="s">
        <v>53</v>
      </c>
      <c r="L78" t="s">
        <v>41</v>
      </c>
      <c r="M78">
        <v>1</v>
      </c>
      <c r="N78" t="s">
        <v>49</v>
      </c>
      <c r="O78" s="6" t="str">
        <f t="shared" si="21"/>
        <v>BXX</v>
      </c>
      <c r="P78" t="s">
        <v>1</v>
      </c>
      <c r="Q78" s="6" t="str">
        <f>$A$6&amp;".PB_ZA.SR"</f>
        <v>BXX_DEV1_SK1.PB_ZA.SR</v>
      </c>
      <c r="R78" t="s">
        <v>1</v>
      </c>
      <c r="S78" s="6" t="str">
        <f t="shared" si="24"/>
        <v>Sample Motor Stroke Deviation Sup Enable</v>
      </c>
      <c r="T78">
        <v>0</v>
      </c>
      <c r="U78">
        <v>0</v>
      </c>
    </row>
    <row r="79" spans="1:21" x14ac:dyDescent="0.25">
      <c r="A79" s="3" t="str">
        <f>$A$3&amp;"_"&amp;"PB_ES_RE"</f>
        <v>BXX_DEV1_DM1_PB_ES_RE</v>
      </c>
      <c r="B79" s="6" t="str">
        <f t="shared" ref="B79:B120" si="26">$A$3</f>
        <v>BXX_DEV1_DM1</v>
      </c>
      <c r="C79" s="6" t="str">
        <f>$C$3&amp;" E-Stop Enable"</f>
        <v>Sample Motor E-Stop Enable</v>
      </c>
      <c r="D79" s="4">
        <f t="shared" si="25"/>
        <v>26</v>
      </c>
      <c r="E79" t="s">
        <v>1</v>
      </c>
      <c r="F79" t="s">
        <v>0</v>
      </c>
      <c r="G79" s="2">
        <v>600</v>
      </c>
      <c r="H79" t="s">
        <v>0</v>
      </c>
      <c r="I79" t="s">
        <v>40</v>
      </c>
      <c r="J79" t="s">
        <v>52</v>
      </c>
      <c r="K79" t="s">
        <v>53</v>
      </c>
      <c r="L79" t="s">
        <v>41</v>
      </c>
      <c r="M79">
        <v>1</v>
      </c>
      <c r="N79" t="s">
        <v>49</v>
      </c>
      <c r="O79" s="6" t="str">
        <f t="shared" si="21"/>
        <v>BXX</v>
      </c>
      <c r="P79" t="s">
        <v>1</v>
      </c>
      <c r="Q79" s="6" t="str">
        <f>$A$3&amp;".DA_ES.RE"</f>
        <v>BXX_DEV1_DM1.DA_ES.RE</v>
      </c>
      <c r="R79" t="s">
        <v>1</v>
      </c>
      <c r="S79" s="6" t="str">
        <f t="shared" si="24"/>
        <v>Sample Motor E-Stop Enable</v>
      </c>
      <c r="T79">
        <v>0</v>
      </c>
      <c r="U79">
        <v>0</v>
      </c>
    </row>
    <row r="80" spans="1:21" x14ac:dyDescent="0.25">
      <c r="A80" s="3" t="str">
        <f>$A$3&amp;"_"&amp;"PB_RA_RE"</f>
        <v>BXX_DEV1_DM1_PB_RA_RE</v>
      </c>
      <c r="B80" s="6" t="str">
        <f t="shared" si="26"/>
        <v>BXX_DEV1_DM1</v>
      </c>
      <c r="C80" s="6" t="str">
        <f>$C$3&amp;" Overload Enable"</f>
        <v>Sample Motor Overload Enable</v>
      </c>
      <c r="D80" s="4">
        <f t="shared" si="25"/>
        <v>28</v>
      </c>
      <c r="E80" t="s">
        <v>1</v>
      </c>
      <c r="F80" t="s">
        <v>0</v>
      </c>
      <c r="G80" s="2">
        <v>600</v>
      </c>
      <c r="H80" t="s">
        <v>0</v>
      </c>
      <c r="I80" t="s">
        <v>40</v>
      </c>
      <c r="J80" t="s">
        <v>52</v>
      </c>
      <c r="K80" t="s">
        <v>53</v>
      </c>
      <c r="L80" t="s">
        <v>41</v>
      </c>
      <c r="M80">
        <v>1</v>
      </c>
      <c r="N80" t="s">
        <v>49</v>
      </c>
      <c r="O80" s="6" t="str">
        <f t="shared" si="21"/>
        <v>BXX</v>
      </c>
      <c r="P80" t="s">
        <v>1</v>
      </c>
      <c r="Q80" s="6" t="str">
        <f>$A$3&amp;".DA_RA.RE"</f>
        <v>BXX_DEV1_DM1.DA_RA.RE</v>
      </c>
      <c r="R80" t="s">
        <v>1</v>
      </c>
      <c r="S80" s="6" t="str">
        <f t="shared" si="24"/>
        <v>Sample Motor Overload Enable</v>
      </c>
      <c r="T80">
        <v>0</v>
      </c>
      <c r="U80">
        <v>0</v>
      </c>
    </row>
    <row r="81" spans="1:21" x14ac:dyDescent="0.25">
      <c r="A81" s="3" t="str">
        <f>$A$3&amp;"_"&amp;"PB_PL_RE"</f>
        <v>BXX_DEV1_DM1_PB_PL_RE</v>
      </c>
      <c r="B81" s="6" t="str">
        <f t="shared" si="26"/>
        <v>BXX_DEV1_DM1</v>
      </c>
      <c r="C81" s="6" t="str">
        <f>$C$3&amp;" Loss of Pressure Enable"</f>
        <v>Sample Motor Loss of Pressure Enable</v>
      </c>
      <c r="D81" s="4">
        <f t="shared" si="25"/>
        <v>36</v>
      </c>
      <c r="E81" t="s">
        <v>1</v>
      </c>
      <c r="F81" t="s">
        <v>0</v>
      </c>
      <c r="G81" s="2">
        <v>600</v>
      </c>
      <c r="H81" t="s">
        <v>0</v>
      </c>
      <c r="I81" t="s">
        <v>40</v>
      </c>
      <c r="J81" t="s">
        <v>52</v>
      </c>
      <c r="K81" t="s">
        <v>53</v>
      </c>
      <c r="L81" t="s">
        <v>41</v>
      </c>
      <c r="M81">
        <v>1</v>
      </c>
      <c r="N81" t="s">
        <v>49</v>
      </c>
      <c r="O81" s="6" t="str">
        <f t="shared" si="21"/>
        <v>BXX</v>
      </c>
      <c r="P81" t="s">
        <v>1</v>
      </c>
      <c r="Q81" s="6" t="str">
        <f>$A$3&amp;".DA_PL.RE"</f>
        <v>BXX_DEV1_DM1.DA_PL.RE</v>
      </c>
      <c r="R81" t="s">
        <v>1</v>
      </c>
      <c r="S81" s="6" t="str">
        <f t="shared" si="24"/>
        <v>Sample Motor Loss of Pressure Enable</v>
      </c>
      <c r="T81">
        <v>0</v>
      </c>
      <c r="U81">
        <v>0</v>
      </c>
    </row>
    <row r="82" spans="1:21" x14ac:dyDescent="0.25">
      <c r="A82" s="3" t="str">
        <f>$A$3&amp;"_"&amp;"PB_PH_RE"</f>
        <v>BXX_DEV1_DM1_PB_PH_RE</v>
      </c>
      <c r="B82" s="6" t="str">
        <f t="shared" si="26"/>
        <v>BXX_DEV1_DM1</v>
      </c>
      <c r="C82" s="6" t="str">
        <f>$C$3&amp;" High Disch Pressure Enable"</f>
        <v>Sample Motor High Disch Pressure Enable</v>
      </c>
      <c r="D82" s="4">
        <f t="shared" si="25"/>
        <v>39</v>
      </c>
      <c r="E82" t="s">
        <v>1</v>
      </c>
      <c r="F82" t="s">
        <v>0</v>
      </c>
      <c r="G82" s="2">
        <v>600</v>
      </c>
      <c r="H82" t="s">
        <v>0</v>
      </c>
      <c r="I82" t="s">
        <v>40</v>
      </c>
      <c r="J82" t="s">
        <v>52</v>
      </c>
      <c r="K82" t="s">
        <v>53</v>
      </c>
      <c r="L82" t="s">
        <v>41</v>
      </c>
      <c r="M82">
        <v>1</v>
      </c>
      <c r="N82" t="s">
        <v>49</v>
      </c>
      <c r="O82" s="6" t="str">
        <f t="shared" si="21"/>
        <v>BXX</v>
      </c>
      <c r="P82" t="s">
        <v>1</v>
      </c>
      <c r="Q82" s="6" t="str">
        <f>$A$3&amp;".DA_PH.RE"</f>
        <v>BXX_DEV1_DM1.DA_PH.RE</v>
      </c>
      <c r="R82" t="s">
        <v>1</v>
      </c>
      <c r="S82" s="6" t="str">
        <f t="shared" si="24"/>
        <v>Sample Motor High Disch Pressure Enable</v>
      </c>
      <c r="T82">
        <v>0</v>
      </c>
      <c r="U82">
        <v>0</v>
      </c>
    </row>
    <row r="83" spans="1:21" x14ac:dyDescent="0.25">
      <c r="A83" s="3" t="str">
        <f>$A$3&amp;"_"&amp;"PB_DF_RE"</f>
        <v>BXX_DEV1_DM1_PB_DF_RE</v>
      </c>
      <c r="B83" s="6" t="str">
        <f t="shared" si="26"/>
        <v>BXX_DEV1_DM1</v>
      </c>
      <c r="C83" s="6" t="str">
        <f>$C$3&amp;" Not Ready Enable"</f>
        <v>Sample Motor Not Ready Enable</v>
      </c>
      <c r="D83" s="4">
        <f t="shared" si="25"/>
        <v>29</v>
      </c>
      <c r="E83" t="s">
        <v>1</v>
      </c>
      <c r="F83" t="s">
        <v>0</v>
      </c>
      <c r="G83" s="2">
        <v>600</v>
      </c>
      <c r="H83" t="s">
        <v>0</v>
      </c>
      <c r="I83" t="s">
        <v>40</v>
      </c>
      <c r="J83" t="s">
        <v>52</v>
      </c>
      <c r="K83" t="s">
        <v>53</v>
      </c>
      <c r="L83" t="s">
        <v>41</v>
      </c>
      <c r="M83">
        <v>1</v>
      </c>
      <c r="N83" t="s">
        <v>49</v>
      </c>
      <c r="O83" s="6" t="str">
        <f t="shared" si="21"/>
        <v>BXX</v>
      </c>
      <c r="P83" t="s">
        <v>1</v>
      </c>
      <c r="Q83" s="6" t="str">
        <f>$A$3&amp;".DA_DF.RE"</f>
        <v>BXX_DEV1_DM1.DA_DF.RE</v>
      </c>
      <c r="R83" t="s">
        <v>1</v>
      </c>
      <c r="S83" s="6" t="str">
        <f t="shared" si="24"/>
        <v>Sample Motor Not Ready Enable</v>
      </c>
      <c r="T83">
        <v>0</v>
      </c>
      <c r="U83">
        <v>0</v>
      </c>
    </row>
    <row r="84" spans="1:21" x14ac:dyDescent="0.25">
      <c r="A84" s="3" t="str">
        <f>$A$3&amp;"_"&amp;"PB_MA_RE"</f>
        <v>BXX_DEV1_DM1_PB_MA_RE</v>
      </c>
      <c r="B84" s="6" t="str">
        <f t="shared" si="26"/>
        <v>BXX_DEV1_DM1</v>
      </c>
      <c r="C84" s="6" t="str">
        <f>$C$3&amp;" Loss of Prime Enable"</f>
        <v>Sample Motor Loss of Prime Enable</v>
      </c>
      <c r="D84" s="4">
        <f t="shared" si="25"/>
        <v>33</v>
      </c>
      <c r="E84" t="s">
        <v>1</v>
      </c>
      <c r="F84" t="s">
        <v>0</v>
      </c>
      <c r="G84" s="2">
        <v>600</v>
      </c>
      <c r="H84" t="s">
        <v>0</v>
      </c>
      <c r="I84" t="s">
        <v>40</v>
      </c>
      <c r="J84" t="s">
        <v>52</v>
      </c>
      <c r="K84" t="s">
        <v>53</v>
      </c>
      <c r="L84" t="s">
        <v>41</v>
      </c>
      <c r="M84">
        <v>1</v>
      </c>
      <c r="N84" t="s">
        <v>49</v>
      </c>
      <c r="O84" s="6" t="str">
        <f t="shared" si="21"/>
        <v>BXX</v>
      </c>
      <c r="P84" t="s">
        <v>1</v>
      </c>
      <c r="Q84" s="6" t="str">
        <f>$A$3&amp;".DA_MA.RE"</f>
        <v>BXX_DEV1_DM1.DA_MA.RE</v>
      </c>
      <c r="R84" t="s">
        <v>1</v>
      </c>
      <c r="S84" s="6" t="str">
        <f t="shared" si="24"/>
        <v>Sample Motor Loss of Prime Enable</v>
      </c>
      <c r="T84">
        <v>0</v>
      </c>
      <c r="U84">
        <v>0</v>
      </c>
    </row>
    <row r="85" spans="1:21" x14ac:dyDescent="0.25">
      <c r="A85" s="3" t="str">
        <f>$A$3&amp;"_"&amp;"PB_VM_RE"</f>
        <v>BXX_DEV1_DM1_PB_VM_RE</v>
      </c>
      <c r="B85" s="6" t="str">
        <f t="shared" si="26"/>
        <v>BXX_DEV1_DM1</v>
      </c>
      <c r="C85" s="6" t="str">
        <f>$C$3&amp;" Vacuum Alarm Enable"</f>
        <v>Sample Motor Vacuum Alarm Enable</v>
      </c>
      <c r="D85" s="4">
        <f t="shared" si="25"/>
        <v>32</v>
      </c>
      <c r="E85" t="s">
        <v>1</v>
      </c>
      <c r="F85" t="s">
        <v>0</v>
      </c>
      <c r="G85" s="2">
        <v>600</v>
      </c>
      <c r="H85" t="s">
        <v>0</v>
      </c>
      <c r="I85" t="s">
        <v>40</v>
      </c>
      <c r="J85" t="s">
        <v>52</v>
      </c>
      <c r="K85" t="s">
        <v>53</v>
      </c>
      <c r="L85" t="s">
        <v>41</v>
      </c>
      <c r="M85">
        <v>1</v>
      </c>
      <c r="N85" t="s">
        <v>49</v>
      </c>
      <c r="O85" s="6" t="str">
        <f t="shared" si="21"/>
        <v>BXX</v>
      </c>
      <c r="P85" t="s">
        <v>1</v>
      </c>
      <c r="Q85" s="6" t="str">
        <f>$A$3&amp;".DA_VA.RE"</f>
        <v>BXX_DEV1_DM1.DA_VA.RE</v>
      </c>
      <c r="R85" t="s">
        <v>1</v>
      </c>
      <c r="S85" s="6" t="str">
        <f t="shared" si="24"/>
        <v>Sample Motor Vacuum Alarm Enable</v>
      </c>
      <c r="T85">
        <v>0</v>
      </c>
      <c r="U85">
        <v>0</v>
      </c>
    </row>
    <row r="86" spans="1:21" x14ac:dyDescent="0.25">
      <c r="A86" s="3" t="str">
        <f>$A$3&amp;"_"&amp;"PB_GA_RE"</f>
        <v>BXX_DEV1_DM1_PB_GA_RE</v>
      </c>
      <c r="B86" s="6" t="str">
        <f t="shared" si="26"/>
        <v>BXX_DEV1_DM1</v>
      </c>
      <c r="C86" s="2" t="str">
        <f>$C$3&amp;" Soft Starter/VFD Fault Enable"</f>
        <v>Sample Motor Soft Starter/VFD Fault Enable</v>
      </c>
      <c r="D86" s="4">
        <f t="shared" si="25"/>
        <v>42</v>
      </c>
      <c r="E86" t="s">
        <v>1</v>
      </c>
      <c r="F86" t="s">
        <v>0</v>
      </c>
      <c r="G86" s="2">
        <v>600</v>
      </c>
      <c r="H86" t="s">
        <v>0</v>
      </c>
      <c r="I86" t="s">
        <v>40</v>
      </c>
      <c r="J86" t="s">
        <v>52</v>
      </c>
      <c r="K86" t="s">
        <v>53</v>
      </c>
      <c r="L86" t="s">
        <v>41</v>
      </c>
      <c r="M86">
        <v>1</v>
      </c>
      <c r="N86" t="s">
        <v>49</v>
      </c>
      <c r="O86" s="6" t="str">
        <f t="shared" si="21"/>
        <v>BXX</v>
      </c>
      <c r="P86" t="s">
        <v>1</v>
      </c>
      <c r="Q86" s="6" t="str">
        <f>$A$3&amp;".DA_GA.RE"</f>
        <v>BXX_DEV1_DM1.DA_GA.RE</v>
      </c>
      <c r="R86" t="s">
        <v>1</v>
      </c>
      <c r="S86" s="6" t="str">
        <f t="shared" si="24"/>
        <v>Sample Motor Soft Starter/VFD Fault Enable</v>
      </c>
      <c r="T86">
        <v>0</v>
      </c>
      <c r="U86">
        <v>0</v>
      </c>
    </row>
    <row r="87" spans="1:21" x14ac:dyDescent="0.25">
      <c r="A87" s="3" t="str">
        <f>$A$3&amp;"_"&amp;"PB_HA_RE"</f>
        <v>BXX_DEV1_DM1_PB_HA_RE</v>
      </c>
      <c r="B87" s="6" t="str">
        <f t="shared" si="26"/>
        <v>BXX_DEV1_DM1</v>
      </c>
      <c r="C87" s="6" t="str">
        <f>$C$3&amp;" Overtorque Enable"</f>
        <v>Sample Motor Overtorque Enable</v>
      </c>
      <c r="D87" s="4">
        <f t="shared" si="25"/>
        <v>30</v>
      </c>
      <c r="E87" t="s">
        <v>1</v>
      </c>
      <c r="F87" t="s">
        <v>0</v>
      </c>
      <c r="G87" s="2">
        <v>600</v>
      </c>
      <c r="H87" t="s">
        <v>0</v>
      </c>
      <c r="I87" t="s">
        <v>40</v>
      </c>
      <c r="J87" t="s">
        <v>52</v>
      </c>
      <c r="K87" t="s">
        <v>53</v>
      </c>
      <c r="L87" t="s">
        <v>41</v>
      </c>
      <c r="M87">
        <v>1</v>
      </c>
      <c r="N87" t="s">
        <v>49</v>
      </c>
      <c r="O87" s="6" t="str">
        <f t="shared" si="21"/>
        <v>BXX</v>
      </c>
      <c r="P87" t="s">
        <v>1</v>
      </c>
      <c r="Q87" s="6" t="str">
        <f>$A$3&amp;".DA_HA.RE"</f>
        <v>BXX_DEV1_DM1.DA_HA.RE</v>
      </c>
      <c r="R87" t="s">
        <v>1</v>
      </c>
      <c r="S87" s="6" t="str">
        <f t="shared" si="24"/>
        <v>Sample Motor Overtorque Enable</v>
      </c>
      <c r="T87">
        <v>0</v>
      </c>
      <c r="U87">
        <v>0</v>
      </c>
    </row>
    <row r="88" spans="1:21" x14ac:dyDescent="0.25">
      <c r="A88" s="3" t="str">
        <f>$A$3&amp;"_"&amp;"PB_BT_RE"</f>
        <v>BXX_DEV1_DM1_PB_BT_RE</v>
      </c>
      <c r="B88" s="6" t="str">
        <f t="shared" si="26"/>
        <v>BXX_DEV1_DM1</v>
      </c>
      <c r="C88" s="6" t="str">
        <f>$C$3&amp;" Bearing Temperature Enable"</f>
        <v>Sample Motor Bearing Temperature Enable</v>
      </c>
      <c r="D88" s="4">
        <f t="shared" si="25"/>
        <v>39</v>
      </c>
      <c r="E88" t="s">
        <v>1</v>
      </c>
      <c r="F88" t="s">
        <v>0</v>
      </c>
      <c r="G88" s="2">
        <v>600</v>
      </c>
      <c r="H88" t="s">
        <v>0</v>
      </c>
      <c r="I88" t="s">
        <v>40</v>
      </c>
      <c r="J88" t="s">
        <v>52</v>
      </c>
      <c r="K88" t="s">
        <v>53</v>
      </c>
      <c r="L88" t="s">
        <v>41</v>
      </c>
      <c r="M88">
        <v>1</v>
      </c>
      <c r="N88" t="s">
        <v>49</v>
      </c>
      <c r="O88" s="6" t="str">
        <f t="shared" si="21"/>
        <v>BXX</v>
      </c>
      <c r="P88" t="s">
        <v>1</v>
      </c>
      <c r="Q88" s="6" t="str">
        <f>$A$3&amp;".DA_BT.RE"</f>
        <v>BXX_DEV1_DM1.DA_BT.RE</v>
      </c>
      <c r="R88" t="s">
        <v>1</v>
      </c>
      <c r="S88" s="6" t="str">
        <f t="shared" si="24"/>
        <v>Sample Motor Bearing Temperature Enable</v>
      </c>
      <c r="T88">
        <v>0</v>
      </c>
      <c r="U88">
        <v>0</v>
      </c>
    </row>
    <row r="89" spans="1:21" x14ac:dyDescent="0.25">
      <c r="A89" s="3" t="str">
        <f>$A$3&amp;"_"&amp;"PB_WA_RE"</f>
        <v>BXX_DEV1_DM1_PB_WA_RE</v>
      </c>
      <c r="B89" s="6" t="str">
        <f t="shared" si="26"/>
        <v>BXX_DEV1_DM1</v>
      </c>
      <c r="C89" s="6" t="str">
        <f>$C$3&amp;" Winding Temperature Enable"</f>
        <v>Sample Motor Winding Temperature Enable</v>
      </c>
      <c r="D89" s="4">
        <f t="shared" si="25"/>
        <v>39</v>
      </c>
      <c r="E89" t="s">
        <v>1</v>
      </c>
      <c r="F89" t="s">
        <v>0</v>
      </c>
      <c r="G89" s="2">
        <v>600</v>
      </c>
      <c r="H89" t="s">
        <v>0</v>
      </c>
      <c r="I89" t="s">
        <v>40</v>
      </c>
      <c r="J89" t="s">
        <v>52</v>
      </c>
      <c r="K89" t="s">
        <v>53</v>
      </c>
      <c r="L89" t="s">
        <v>41</v>
      </c>
      <c r="M89">
        <v>1</v>
      </c>
      <c r="N89" t="s">
        <v>49</v>
      </c>
      <c r="O89" s="6" t="str">
        <f t="shared" si="21"/>
        <v>BXX</v>
      </c>
      <c r="P89" t="s">
        <v>1</v>
      </c>
      <c r="Q89" s="6" t="str">
        <f>$A$3&amp;".DA_WA.RE"</f>
        <v>BXX_DEV1_DM1.DA_WA.RE</v>
      </c>
      <c r="R89" t="s">
        <v>1</v>
      </c>
      <c r="S89" s="6" t="str">
        <f t="shared" si="24"/>
        <v>Sample Motor Winding Temperature Enable</v>
      </c>
      <c r="T89">
        <v>0</v>
      </c>
      <c r="U89">
        <v>0</v>
      </c>
    </row>
    <row r="90" spans="1:21" x14ac:dyDescent="0.25">
      <c r="A90" s="3" t="str">
        <f>$A$3&amp;"_"&amp;"PB_TH_RE"</f>
        <v>BXX_DEV1_DM1_PB_TH_RE</v>
      </c>
      <c r="B90" s="6" t="str">
        <f t="shared" si="26"/>
        <v>BXX_DEV1_DM1</v>
      </c>
      <c r="C90" s="6" t="str">
        <f>$C$3&amp;" High Temperature Enable"</f>
        <v>Sample Motor High Temperature Enable</v>
      </c>
      <c r="D90" s="4">
        <f t="shared" si="25"/>
        <v>36</v>
      </c>
      <c r="E90" t="s">
        <v>1</v>
      </c>
      <c r="F90" t="s">
        <v>0</v>
      </c>
      <c r="G90" s="2">
        <v>600</v>
      </c>
      <c r="H90" t="s">
        <v>0</v>
      </c>
      <c r="I90" t="s">
        <v>40</v>
      </c>
      <c r="J90" t="s">
        <v>52</v>
      </c>
      <c r="K90" t="s">
        <v>53</v>
      </c>
      <c r="L90" t="s">
        <v>41</v>
      </c>
      <c r="M90">
        <v>1</v>
      </c>
      <c r="N90" t="s">
        <v>49</v>
      </c>
      <c r="O90" s="6" t="str">
        <f t="shared" si="21"/>
        <v>BXX</v>
      </c>
      <c r="P90" t="s">
        <v>1</v>
      </c>
      <c r="Q90" s="6" t="str">
        <f>$A$3&amp;".DA_TH.RE"</f>
        <v>BXX_DEV1_DM1.DA_TH.RE</v>
      </c>
      <c r="R90" t="s">
        <v>1</v>
      </c>
      <c r="S90" s="6" t="str">
        <f t="shared" si="24"/>
        <v>Sample Motor High Temperature Enable</v>
      </c>
      <c r="T90">
        <v>0</v>
      </c>
      <c r="U90">
        <v>0</v>
      </c>
    </row>
    <row r="91" spans="1:21" x14ac:dyDescent="0.25">
      <c r="A91" s="3" t="str">
        <f>$A$3&amp;"_"&amp;"PB_TA_RE"</f>
        <v>BXX_DEV1_DM1_PB_TA_RE</v>
      </c>
      <c r="B91" s="6" t="str">
        <f t="shared" si="26"/>
        <v>BXX_DEV1_DM1</v>
      </c>
      <c r="C91" s="6" t="str">
        <f>$C$3&amp;" Temp/Leak Alarm Enable"</f>
        <v>Sample Motor Temp/Leak Alarm Enable</v>
      </c>
      <c r="D91" s="4">
        <f t="shared" si="25"/>
        <v>35</v>
      </c>
      <c r="E91" t="s">
        <v>1</v>
      </c>
      <c r="F91" t="s">
        <v>0</v>
      </c>
      <c r="G91" s="2">
        <v>600</v>
      </c>
      <c r="H91" t="s">
        <v>0</v>
      </c>
      <c r="I91" t="s">
        <v>40</v>
      </c>
      <c r="J91" t="s">
        <v>52</v>
      </c>
      <c r="K91" t="s">
        <v>53</v>
      </c>
      <c r="L91" t="s">
        <v>41</v>
      </c>
      <c r="M91">
        <v>1</v>
      </c>
      <c r="N91" t="s">
        <v>49</v>
      </c>
      <c r="O91" s="6" t="str">
        <f t="shared" si="21"/>
        <v>BXX</v>
      </c>
      <c r="P91" t="s">
        <v>1</v>
      </c>
      <c r="Q91" s="6" t="str">
        <f>$A$3&amp;".DA_TA.RE"</f>
        <v>BXX_DEV1_DM1.DA_TA.RE</v>
      </c>
      <c r="R91" t="s">
        <v>1</v>
      </c>
      <c r="S91" s="6" t="str">
        <f t="shared" si="24"/>
        <v>Sample Motor Temp/Leak Alarm Enable</v>
      </c>
      <c r="T91">
        <v>0</v>
      </c>
      <c r="U91">
        <v>0</v>
      </c>
    </row>
    <row r="92" spans="1:21" x14ac:dyDescent="0.25">
      <c r="A92" s="3" t="str">
        <f>$A$3&amp;"_"&amp;"PB_FA_RE"</f>
        <v>BXX_DEV1_DM1_PB_FA_RE</v>
      </c>
      <c r="B92" s="6" t="str">
        <f t="shared" si="26"/>
        <v>BXX_DEV1_DM1</v>
      </c>
      <c r="C92" s="6" t="str">
        <f>$C$3&amp;" No Flow Enable"</f>
        <v>Sample Motor No Flow Enable</v>
      </c>
      <c r="D92" s="4">
        <f t="shared" si="25"/>
        <v>27</v>
      </c>
      <c r="E92" t="s">
        <v>1</v>
      </c>
      <c r="F92" t="s">
        <v>0</v>
      </c>
      <c r="G92" s="2">
        <v>600</v>
      </c>
      <c r="H92" t="s">
        <v>0</v>
      </c>
      <c r="I92" t="s">
        <v>40</v>
      </c>
      <c r="J92" t="s">
        <v>52</v>
      </c>
      <c r="K92" t="s">
        <v>53</v>
      </c>
      <c r="L92" t="s">
        <v>41</v>
      </c>
      <c r="M92">
        <v>1</v>
      </c>
      <c r="N92" t="s">
        <v>49</v>
      </c>
      <c r="O92" s="6" t="str">
        <f t="shared" si="21"/>
        <v>BXX</v>
      </c>
      <c r="P92" t="s">
        <v>1</v>
      </c>
      <c r="Q92" s="6" t="str">
        <f>$A$3&amp;".DA_FA.RE"</f>
        <v>BXX_DEV1_DM1.DA_FA.RE</v>
      </c>
      <c r="R92" t="s">
        <v>1</v>
      </c>
      <c r="S92" s="6" t="str">
        <f t="shared" si="24"/>
        <v>Sample Motor No Flow Enable</v>
      </c>
      <c r="T92">
        <v>0</v>
      </c>
      <c r="U92">
        <v>0</v>
      </c>
    </row>
    <row r="93" spans="1:21" x14ac:dyDescent="0.25">
      <c r="A93" s="3" t="str">
        <f>$A$3&amp;"_"&amp;"PB_ES_DE"</f>
        <v>BXX_DEV1_DM1_PB_ES_DE</v>
      </c>
      <c r="B93" s="6" t="str">
        <f t="shared" si="26"/>
        <v>BXX_DEV1_DM1</v>
      </c>
      <c r="C93" s="6" t="str">
        <f>$C$3&amp;" E-Stop Dialer Enable"</f>
        <v>Sample Motor E-Stop Dialer Enable</v>
      </c>
      <c r="D93" s="4">
        <f t="shared" ref="D93:D106" si="27">LEN(C93)</f>
        <v>33</v>
      </c>
      <c r="E93" t="s">
        <v>1</v>
      </c>
      <c r="F93" t="s">
        <v>0</v>
      </c>
      <c r="G93" s="2">
        <v>600</v>
      </c>
      <c r="H93" t="s">
        <v>0</v>
      </c>
      <c r="I93" t="s">
        <v>40</v>
      </c>
      <c r="J93" t="s">
        <v>52</v>
      </c>
      <c r="K93" t="s">
        <v>53</v>
      </c>
      <c r="L93" t="s">
        <v>41</v>
      </c>
      <c r="M93">
        <v>1</v>
      </c>
      <c r="N93" t="s">
        <v>49</v>
      </c>
      <c r="O93" s="6" t="str">
        <f t="shared" si="21"/>
        <v>BXX</v>
      </c>
      <c r="P93" t="s">
        <v>1</v>
      </c>
      <c r="Q93" s="6" t="str">
        <f>$A$3&amp;".DA_ES.DE"</f>
        <v>BXX_DEV1_DM1.DA_ES.DE</v>
      </c>
      <c r="R93" t="s">
        <v>1</v>
      </c>
      <c r="S93" s="6" t="str">
        <f t="shared" si="24"/>
        <v>Sample Motor E-Stop Dialer Enable</v>
      </c>
      <c r="T93">
        <v>0</v>
      </c>
      <c r="U93">
        <v>0</v>
      </c>
    </row>
    <row r="94" spans="1:21" x14ac:dyDescent="0.25">
      <c r="A94" s="3" t="str">
        <f>$A$3&amp;"_"&amp;"PB_RA_DE"</f>
        <v>BXX_DEV1_DM1_PB_RA_DE</v>
      </c>
      <c r="B94" s="6" t="str">
        <f t="shared" si="26"/>
        <v>BXX_DEV1_DM1</v>
      </c>
      <c r="C94" s="6" t="str">
        <f>$C$3&amp;" Overload Dialer Enable"</f>
        <v>Sample Motor Overload Dialer Enable</v>
      </c>
      <c r="D94" s="4">
        <f t="shared" si="27"/>
        <v>35</v>
      </c>
      <c r="E94" t="s">
        <v>1</v>
      </c>
      <c r="F94" t="s">
        <v>0</v>
      </c>
      <c r="G94" s="2">
        <v>600</v>
      </c>
      <c r="H94" t="s">
        <v>0</v>
      </c>
      <c r="I94" t="s">
        <v>40</v>
      </c>
      <c r="J94" t="s">
        <v>52</v>
      </c>
      <c r="K94" t="s">
        <v>53</v>
      </c>
      <c r="L94" t="s">
        <v>41</v>
      </c>
      <c r="M94">
        <v>1</v>
      </c>
      <c r="N94" t="s">
        <v>49</v>
      </c>
      <c r="O94" s="6" t="str">
        <f t="shared" si="21"/>
        <v>BXX</v>
      </c>
      <c r="P94" t="s">
        <v>1</v>
      </c>
      <c r="Q94" s="6" t="str">
        <f>$A$3&amp;".DA_RA.DE"</f>
        <v>BXX_DEV1_DM1.DA_RA.DE</v>
      </c>
      <c r="R94" t="s">
        <v>1</v>
      </c>
      <c r="S94" s="6" t="str">
        <f t="shared" si="24"/>
        <v>Sample Motor Overload Dialer Enable</v>
      </c>
      <c r="T94">
        <v>0</v>
      </c>
      <c r="U94">
        <v>0</v>
      </c>
    </row>
    <row r="95" spans="1:21" x14ac:dyDescent="0.25">
      <c r="A95" s="3" t="str">
        <f>$A$3&amp;"_"&amp;"PB_PL_DE"</f>
        <v>BXX_DEV1_DM1_PB_PL_DE</v>
      </c>
      <c r="B95" s="6" t="str">
        <f t="shared" si="26"/>
        <v>BXX_DEV1_DM1</v>
      </c>
      <c r="C95" s="6" t="str">
        <f>$C$3&amp;" Loss of Pressure Dialer Enable"</f>
        <v>Sample Motor Loss of Pressure Dialer Enable</v>
      </c>
      <c r="D95" s="4">
        <f t="shared" si="27"/>
        <v>43</v>
      </c>
      <c r="E95" t="s">
        <v>1</v>
      </c>
      <c r="F95" t="s">
        <v>0</v>
      </c>
      <c r="G95" s="2">
        <v>600</v>
      </c>
      <c r="H95" t="s">
        <v>0</v>
      </c>
      <c r="I95" t="s">
        <v>40</v>
      </c>
      <c r="J95" t="s">
        <v>52</v>
      </c>
      <c r="K95" t="s">
        <v>53</v>
      </c>
      <c r="L95" t="s">
        <v>41</v>
      </c>
      <c r="M95">
        <v>1</v>
      </c>
      <c r="N95" t="s">
        <v>49</v>
      </c>
      <c r="O95" s="6" t="str">
        <f t="shared" si="21"/>
        <v>BXX</v>
      </c>
      <c r="P95" t="s">
        <v>1</v>
      </c>
      <c r="Q95" s="6" t="str">
        <f>$A$3&amp;".DA_PL.DE"</f>
        <v>BXX_DEV1_DM1.DA_PL.DE</v>
      </c>
      <c r="R95" t="s">
        <v>1</v>
      </c>
      <c r="S95" s="6" t="str">
        <f t="shared" si="24"/>
        <v>Sample Motor Loss of Pressure Dialer Enable</v>
      </c>
      <c r="T95">
        <v>0</v>
      </c>
      <c r="U95">
        <v>0</v>
      </c>
    </row>
    <row r="96" spans="1:21" x14ac:dyDescent="0.25">
      <c r="A96" s="3" t="str">
        <f>$A$3&amp;"_"&amp;"PB_PH_DE"</f>
        <v>BXX_DEV1_DM1_PB_PH_DE</v>
      </c>
      <c r="B96" s="6" t="str">
        <f t="shared" si="26"/>
        <v>BXX_DEV1_DM1</v>
      </c>
      <c r="C96" s="6" t="str">
        <f>$C$3&amp;" High Disch Pressure Dialer Enable"</f>
        <v>Sample Motor High Disch Pressure Dialer Enable</v>
      </c>
      <c r="D96" s="4">
        <f t="shared" si="27"/>
        <v>46</v>
      </c>
      <c r="E96" t="s">
        <v>1</v>
      </c>
      <c r="F96" t="s">
        <v>0</v>
      </c>
      <c r="G96" s="2">
        <v>600</v>
      </c>
      <c r="H96" t="s">
        <v>0</v>
      </c>
      <c r="I96" t="s">
        <v>40</v>
      </c>
      <c r="J96" t="s">
        <v>52</v>
      </c>
      <c r="K96" t="s">
        <v>53</v>
      </c>
      <c r="L96" t="s">
        <v>41</v>
      </c>
      <c r="M96">
        <v>1</v>
      </c>
      <c r="N96" t="s">
        <v>49</v>
      </c>
      <c r="O96" s="6" t="str">
        <f t="shared" si="21"/>
        <v>BXX</v>
      </c>
      <c r="P96" t="s">
        <v>1</v>
      </c>
      <c r="Q96" s="6" t="str">
        <f>$A$3&amp;".DA_PH.DE"</f>
        <v>BXX_DEV1_DM1.DA_PH.DE</v>
      </c>
      <c r="R96" t="s">
        <v>1</v>
      </c>
      <c r="S96" s="6" t="str">
        <f t="shared" si="24"/>
        <v>Sample Motor High Disch Pressure Dialer Enable</v>
      </c>
      <c r="T96">
        <v>0</v>
      </c>
      <c r="U96">
        <v>0</v>
      </c>
    </row>
    <row r="97" spans="1:21" x14ac:dyDescent="0.25">
      <c r="A97" s="3" t="str">
        <f>$A$3&amp;"_"&amp;"PB_DF_DE"</f>
        <v>BXX_DEV1_DM1_PB_DF_DE</v>
      </c>
      <c r="B97" s="6" t="str">
        <f t="shared" si="26"/>
        <v>BXX_DEV1_DM1</v>
      </c>
      <c r="C97" s="6" t="str">
        <f>$C$3&amp;" Not Ready Dialer Enable"</f>
        <v>Sample Motor Not Ready Dialer Enable</v>
      </c>
      <c r="D97" s="4">
        <f t="shared" si="27"/>
        <v>36</v>
      </c>
      <c r="E97" t="s">
        <v>1</v>
      </c>
      <c r="F97" t="s">
        <v>0</v>
      </c>
      <c r="G97" s="2">
        <v>600</v>
      </c>
      <c r="H97" t="s">
        <v>0</v>
      </c>
      <c r="I97" t="s">
        <v>40</v>
      </c>
      <c r="J97" t="s">
        <v>52</v>
      </c>
      <c r="K97" t="s">
        <v>53</v>
      </c>
      <c r="L97" t="s">
        <v>41</v>
      </c>
      <c r="M97">
        <v>1</v>
      </c>
      <c r="N97" t="s">
        <v>49</v>
      </c>
      <c r="O97" s="6" t="str">
        <f t="shared" si="21"/>
        <v>BXX</v>
      </c>
      <c r="P97" t="s">
        <v>1</v>
      </c>
      <c r="Q97" s="6" t="str">
        <f>$A$3&amp;".DA_DF.DE"</f>
        <v>BXX_DEV1_DM1.DA_DF.DE</v>
      </c>
      <c r="R97" t="s">
        <v>1</v>
      </c>
      <c r="S97" s="6" t="str">
        <f t="shared" si="24"/>
        <v>Sample Motor Not Ready Dialer Enable</v>
      </c>
      <c r="T97">
        <v>0</v>
      </c>
      <c r="U97">
        <v>0</v>
      </c>
    </row>
    <row r="98" spans="1:21" x14ac:dyDescent="0.25">
      <c r="A98" s="3" t="str">
        <f>$A$3&amp;"_"&amp;"PB_MA_DE"</f>
        <v>BXX_DEV1_DM1_PB_MA_DE</v>
      </c>
      <c r="B98" s="6" t="str">
        <f t="shared" si="26"/>
        <v>BXX_DEV1_DM1</v>
      </c>
      <c r="C98" s="6" t="str">
        <f>$C$3&amp;" Loss of Prime Dialer Enable"</f>
        <v>Sample Motor Loss of Prime Dialer Enable</v>
      </c>
      <c r="D98" s="4">
        <f t="shared" si="27"/>
        <v>40</v>
      </c>
      <c r="E98" t="s">
        <v>1</v>
      </c>
      <c r="F98" t="s">
        <v>0</v>
      </c>
      <c r="G98" s="2">
        <v>600</v>
      </c>
      <c r="H98" t="s">
        <v>0</v>
      </c>
      <c r="I98" t="s">
        <v>40</v>
      </c>
      <c r="J98" t="s">
        <v>52</v>
      </c>
      <c r="K98" t="s">
        <v>53</v>
      </c>
      <c r="L98" t="s">
        <v>41</v>
      </c>
      <c r="M98">
        <v>1</v>
      </c>
      <c r="N98" t="s">
        <v>49</v>
      </c>
      <c r="O98" s="6" t="str">
        <f t="shared" si="21"/>
        <v>BXX</v>
      </c>
      <c r="P98" t="s">
        <v>1</v>
      </c>
      <c r="Q98" s="6" t="str">
        <f>$A$3&amp;".DA_MA.DE"</f>
        <v>BXX_DEV1_DM1.DA_MA.DE</v>
      </c>
      <c r="R98" t="s">
        <v>1</v>
      </c>
      <c r="S98" s="6" t="str">
        <f t="shared" si="24"/>
        <v>Sample Motor Loss of Prime Dialer Enable</v>
      </c>
      <c r="T98">
        <v>0</v>
      </c>
      <c r="U98">
        <v>0</v>
      </c>
    </row>
    <row r="99" spans="1:21" x14ac:dyDescent="0.25">
      <c r="A99" s="3" t="str">
        <f>$A$3&amp;"_"&amp;"PB_VM_DE"</f>
        <v>BXX_DEV1_DM1_PB_VM_DE</v>
      </c>
      <c r="B99" s="6" t="str">
        <f t="shared" si="26"/>
        <v>BXX_DEV1_DM1</v>
      </c>
      <c r="C99" s="6" t="str">
        <f>$C$3&amp;" Vacuum Alarm Dialer Enable"</f>
        <v>Sample Motor Vacuum Alarm Dialer Enable</v>
      </c>
      <c r="D99" s="4">
        <f t="shared" si="27"/>
        <v>39</v>
      </c>
      <c r="E99" t="s">
        <v>1</v>
      </c>
      <c r="F99" t="s">
        <v>0</v>
      </c>
      <c r="G99" s="2">
        <v>600</v>
      </c>
      <c r="H99" t="s">
        <v>0</v>
      </c>
      <c r="I99" t="s">
        <v>40</v>
      </c>
      <c r="J99" t="s">
        <v>52</v>
      </c>
      <c r="K99" t="s">
        <v>53</v>
      </c>
      <c r="L99" t="s">
        <v>41</v>
      </c>
      <c r="M99">
        <v>1</v>
      </c>
      <c r="N99" t="s">
        <v>49</v>
      </c>
      <c r="O99" s="6" t="str">
        <f t="shared" si="21"/>
        <v>BXX</v>
      </c>
      <c r="P99" t="s">
        <v>1</v>
      </c>
      <c r="Q99" s="6" t="str">
        <f>$A$3&amp;".DA_VA.DE"</f>
        <v>BXX_DEV1_DM1.DA_VA.DE</v>
      </c>
      <c r="R99" t="s">
        <v>1</v>
      </c>
      <c r="S99" s="6" t="str">
        <f t="shared" si="24"/>
        <v>Sample Motor Vacuum Alarm Dialer Enable</v>
      </c>
      <c r="T99">
        <v>0</v>
      </c>
      <c r="U99">
        <v>0</v>
      </c>
    </row>
    <row r="100" spans="1:21" x14ac:dyDescent="0.25">
      <c r="A100" s="3" t="str">
        <f>$A$3&amp;"_"&amp;"PB_GA_DE"</f>
        <v>BXX_DEV1_DM1_PB_GA_DE</v>
      </c>
      <c r="B100" s="6" t="str">
        <f t="shared" si="26"/>
        <v>BXX_DEV1_DM1</v>
      </c>
      <c r="C100" s="2" t="str">
        <f>$C$3&amp;" Soft Starter/VFD Fault Dialer Enable"</f>
        <v>Sample Motor Soft Starter/VFD Fault Dialer Enable</v>
      </c>
      <c r="D100" s="4">
        <f t="shared" si="27"/>
        <v>49</v>
      </c>
      <c r="E100" t="s">
        <v>1</v>
      </c>
      <c r="F100" t="s">
        <v>0</v>
      </c>
      <c r="G100" s="2">
        <v>600</v>
      </c>
      <c r="H100" t="s">
        <v>0</v>
      </c>
      <c r="I100" t="s">
        <v>40</v>
      </c>
      <c r="J100" t="s">
        <v>52</v>
      </c>
      <c r="K100" t="s">
        <v>53</v>
      </c>
      <c r="L100" t="s">
        <v>41</v>
      </c>
      <c r="M100">
        <v>1</v>
      </c>
      <c r="N100" t="s">
        <v>49</v>
      </c>
      <c r="O100" s="6" t="str">
        <f t="shared" si="21"/>
        <v>BXX</v>
      </c>
      <c r="P100" t="s">
        <v>1</v>
      </c>
      <c r="Q100" s="6" t="str">
        <f>$A$3&amp;".DA_GA.DE"</f>
        <v>BXX_DEV1_DM1.DA_GA.DE</v>
      </c>
      <c r="R100" t="s">
        <v>1</v>
      </c>
      <c r="S100" s="6" t="str">
        <f t="shared" si="24"/>
        <v>Sample Motor Soft Starter/VFD Fault Dialer Enable</v>
      </c>
      <c r="T100">
        <v>0</v>
      </c>
      <c r="U100">
        <v>0</v>
      </c>
    </row>
    <row r="101" spans="1:21" x14ac:dyDescent="0.25">
      <c r="A101" s="3" t="str">
        <f>$A$3&amp;"_"&amp;"PB_HA_DE"</f>
        <v>BXX_DEV1_DM1_PB_HA_DE</v>
      </c>
      <c r="B101" s="6" t="str">
        <f t="shared" si="26"/>
        <v>BXX_DEV1_DM1</v>
      </c>
      <c r="C101" s="6" t="str">
        <f>$C$3&amp;" Overtorque Dialer Enable"</f>
        <v>Sample Motor Overtorque Dialer Enable</v>
      </c>
      <c r="D101" s="4">
        <f t="shared" si="27"/>
        <v>37</v>
      </c>
      <c r="E101" t="s">
        <v>1</v>
      </c>
      <c r="F101" t="s">
        <v>0</v>
      </c>
      <c r="G101" s="2">
        <v>600</v>
      </c>
      <c r="H101" t="s">
        <v>0</v>
      </c>
      <c r="I101" t="s">
        <v>40</v>
      </c>
      <c r="J101" t="s">
        <v>52</v>
      </c>
      <c r="K101" t="s">
        <v>53</v>
      </c>
      <c r="L101" t="s">
        <v>41</v>
      </c>
      <c r="M101">
        <v>1</v>
      </c>
      <c r="N101" t="s">
        <v>49</v>
      </c>
      <c r="O101" s="6" t="str">
        <f t="shared" si="21"/>
        <v>BXX</v>
      </c>
      <c r="P101" t="s">
        <v>1</v>
      </c>
      <c r="Q101" s="6" t="str">
        <f>$A$3&amp;".DA_HA.DE"</f>
        <v>BXX_DEV1_DM1.DA_HA.DE</v>
      </c>
      <c r="R101" t="s">
        <v>1</v>
      </c>
      <c r="S101" s="6" t="str">
        <f t="shared" si="24"/>
        <v>Sample Motor Overtorque Dialer Enable</v>
      </c>
      <c r="T101">
        <v>0</v>
      </c>
      <c r="U101">
        <v>0</v>
      </c>
    </row>
    <row r="102" spans="1:21" x14ac:dyDescent="0.25">
      <c r="A102" s="3" t="str">
        <f>$A$3&amp;"_"&amp;"PB_BT_DE"</f>
        <v>BXX_DEV1_DM1_PB_BT_DE</v>
      </c>
      <c r="B102" s="6" t="str">
        <f t="shared" si="26"/>
        <v>BXX_DEV1_DM1</v>
      </c>
      <c r="C102" s="6" t="str">
        <f>$C$3&amp;" Bearing Temp Dialer Enable"</f>
        <v>Sample Motor Bearing Temp Dialer Enable</v>
      </c>
      <c r="D102" s="4">
        <f t="shared" si="27"/>
        <v>39</v>
      </c>
      <c r="E102" t="s">
        <v>1</v>
      </c>
      <c r="F102" t="s">
        <v>0</v>
      </c>
      <c r="G102" s="2">
        <v>600</v>
      </c>
      <c r="H102" t="s">
        <v>0</v>
      </c>
      <c r="I102" t="s">
        <v>40</v>
      </c>
      <c r="J102" t="s">
        <v>52</v>
      </c>
      <c r="K102" t="s">
        <v>53</v>
      </c>
      <c r="L102" t="s">
        <v>41</v>
      </c>
      <c r="M102">
        <v>1</v>
      </c>
      <c r="N102" t="s">
        <v>49</v>
      </c>
      <c r="O102" s="6" t="str">
        <f t="shared" si="21"/>
        <v>BXX</v>
      </c>
      <c r="P102" t="s">
        <v>1</v>
      </c>
      <c r="Q102" s="6" t="str">
        <f>$A$3&amp;".DA_BT.DE"</f>
        <v>BXX_DEV1_DM1.DA_BT.DE</v>
      </c>
      <c r="R102" t="s">
        <v>1</v>
      </c>
      <c r="S102" s="6" t="str">
        <f t="shared" si="24"/>
        <v>Sample Motor Bearing Temp Dialer Enable</v>
      </c>
      <c r="T102">
        <v>0</v>
      </c>
      <c r="U102">
        <v>0</v>
      </c>
    </row>
    <row r="103" spans="1:21" x14ac:dyDescent="0.25">
      <c r="A103" s="3" t="str">
        <f>$A$3&amp;"_"&amp;"PB_WA_DE"</f>
        <v>BXX_DEV1_DM1_PB_WA_DE</v>
      </c>
      <c r="B103" s="6" t="str">
        <f t="shared" si="26"/>
        <v>BXX_DEV1_DM1</v>
      </c>
      <c r="C103" s="6" t="str">
        <f>$C$3&amp;" Winding Temp Dialer Enable"</f>
        <v>Sample Motor Winding Temp Dialer Enable</v>
      </c>
      <c r="D103" s="4">
        <f t="shared" si="27"/>
        <v>39</v>
      </c>
      <c r="E103" t="s">
        <v>1</v>
      </c>
      <c r="F103" t="s">
        <v>0</v>
      </c>
      <c r="G103" s="2">
        <v>600</v>
      </c>
      <c r="H103" t="s">
        <v>0</v>
      </c>
      <c r="I103" t="s">
        <v>40</v>
      </c>
      <c r="J103" t="s">
        <v>52</v>
      </c>
      <c r="K103" t="s">
        <v>53</v>
      </c>
      <c r="L103" t="s">
        <v>41</v>
      </c>
      <c r="M103">
        <v>1</v>
      </c>
      <c r="N103" t="s">
        <v>49</v>
      </c>
      <c r="O103" s="6" t="str">
        <f t="shared" si="21"/>
        <v>BXX</v>
      </c>
      <c r="P103" t="s">
        <v>1</v>
      </c>
      <c r="Q103" s="6" t="str">
        <f>$A$3&amp;".DA_WA.DE"</f>
        <v>BXX_DEV1_DM1.DA_WA.DE</v>
      </c>
      <c r="R103" t="s">
        <v>1</v>
      </c>
      <c r="S103" s="6" t="str">
        <f t="shared" si="24"/>
        <v>Sample Motor Winding Temp Dialer Enable</v>
      </c>
      <c r="T103">
        <v>0</v>
      </c>
      <c r="U103">
        <v>0</v>
      </c>
    </row>
    <row r="104" spans="1:21" x14ac:dyDescent="0.25">
      <c r="A104" s="3" t="str">
        <f>$A$3&amp;"_"&amp;"PB_TH_DE"</f>
        <v>BXX_DEV1_DM1_PB_TH_DE</v>
      </c>
      <c r="B104" s="6" t="str">
        <f t="shared" si="26"/>
        <v>BXX_DEV1_DM1</v>
      </c>
      <c r="C104" s="6" t="str">
        <f>$C$3&amp;" High Temp Dialer Enable"</f>
        <v>Sample Motor High Temp Dialer Enable</v>
      </c>
      <c r="D104" s="4">
        <f t="shared" si="27"/>
        <v>36</v>
      </c>
      <c r="E104" t="s">
        <v>1</v>
      </c>
      <c r="F104" t="s">
        <v>0</v>
      </c>
      <c r="G104" s="2">
        <v>600</v>
      </c>
      <c r="H104" t="s">
        <v>0</v>
      </c>
      <c r="I104" t="s">
        <v>40</v>
      </c>
      <c r="J104" t="s">
        <v>52</v>
      </c>
      <c r="K104" t="s">
        <v>53</v>
      </c>
      <c r="L104" t="s">
        <v>41</v>
      </c>
      <c r="M104">
        <v>1</v>
      </c>
      <c r="N104" t="s">
        <v>49</v>
      </c>
      <c r="O104" s="6" t="str">
        <f t="shared" si="21"/>
        <v>BXX</v>
      </c>
      <c r="P104" t="s">
        <v>1</v>
      </c>
      <c r="Q104" s="6" t="str">
        <f>$A$3&amp;".DA_TH.DE"</f>
        <v>BXX_DEV1_DM1.DA_TH.DE</v>
      </c>
      <c r="R104" t="s">
        <v>1</v>
      </c>
      <c r="S104" s="6" t="str">
        <f t="shared" si="24"/>
        <v>Sample Motor High Temp Dialer Enable</v>
      </c>
      <c r="T104">
        <v>0</v>
      </c>
      <c r="U104">
        <v>0</v>
      </c>
    </row>
    <row r="105" spans="1:21" x14ac:dyDescent="0.25">
      <c r="A105" s="3" t="str">
        <f>$A$3&amp;"_"&amp;"PB_TA_DE"</f>
        <v>BXX_DEV1_DM1_PB_TA_DE</v>
      </c>
      <c r="B105" s="6" t="str">
        <f t="shared" si="26"/>
        <v>BXX_DEV1_DM1</v>
      </c>
      <c r="C105" s="6" t="str">
        <f>$C$3&amp;" Temp/Leak Dialer Enable"</f>
        <v>Sample Motor Temp/Leak Dialer Enable</v>
      </c>
      <c r="D105" s="4">
        <f t="shared" si="27"/>
        <v>36</v>
      </c>
      <c r="E105" t="s">
        <v>1</v>
      </c>
      <c r="F105" t="s">
        <v>0</v>
      </c>
      <c r="G105" s="2">
        <v>600</v>
      </c>
      <c r="H105" t="s">
        <v>0</v>
      </c>
      <c r="I105" t="s">
        <v>40</v>
      </c>
      <c r="J105" t="s">
        <v>52</v>
      </c>
      <c r="K105" t="s">
        <v>53</v>
      </c>
      <c r="L105" t="s">
        <v>41</v>
      </c>
      <c r="M105">
        <v>1</v>
      </c>
      <c r="N105" t="s">
        <v>49</v>
      </c>
      <c r="O105" s="6" t="str">
        <f t="shared" si="21"/>
        <v>BXX</v>
      </c>
      <c r="P105" t="s">
        <v>1</v>
      </c>
      <c r="Q105" s="6" t="str">
        <f>$A$3&amp;".DA_TA.DE"</f>
        <v>BXX_DEV1_DM1.DA_TA.DE</v>
      </c>
      <c r="R105" t="s">
        <v>1</v>
      </c>
      <c r="S105" s="6" t="str">
        <f t="shared" ref="S105:S120" si="28">C105</f>
        <v>Sample Motor Temp/Leak Dialer Enable</v>
      </c>
      <c r="T105">
        <v>0</v>
      </c>
      <c r="U105">
        <v>0</v>
      </c>
    </row>
    <row r="106" spans="1:21" x14ac:dyDescent="0.25">
      <c r="A106" s="3" t="str">
        <f>$A$3&amp;"_"&amp;"PB_FA_DE"</f>
        <v>BXX_DEV1_DM1_PB_FA_DE</v>
      </c>
      <c r="B106" s="6" t="str">
        <f t="shared" si="26"/>
        <v>BXX_DEV1_DM1</v>
      </c>
      <c r="C106" s="6" t="str">
        <f>$C$3&amp;" No Flow Dialer Enable"</f>
        <v>Sample Motor No Flow Dialer Enable</v>
      </c>
      <c r="D106" s="4">
        <f t="shared" si="27"/>
        <v>34</v>
      </c>
      <c r="E106" t="s">
        <v>1</v>
      </c>
      <c r="F106" t="s">
        <v>0</v>
      </c>
      <c r="G106" s="2">
        <v>600</v>
      </c>
      <c r="H106" t="s">
        <v>0</v>
      </c>
      <c r="I106" t="s">
        <v>40</v>
      </c>
      <c r="J106" t="s">
        <v>52</v>
      </c>
      <c r="K106" t="s">
        <v>53</v>
      </c>
      <c r="L106" t="s">
        <v>41</v>
      </c>
      <c r="M106">
        <v>1</v>
      </c>
      <c r="N106" t="s">
        <v>49</v>
      </c>
      <c r="O106" s="6" t="str">
        <f t="shared" si="21"/>
        <v>BXX</v>
      </c>
      <c r="P106" t="s">
        <v>1</v>
      </c>
      <c r="Q106" s="6" t="str">
        <f>$A$3&amp;".DA_FA.DE"</f>
        <v>BXX_DEV1_DM1.DA_FA.DE</v>
      </c>
      <c r="R106" t="s">
        <v>1</v>
      </c>
      <c r="S106" s="6" t="str">
        <f t="shared" si="28"/>
        <v>Sample Motor No Flow Dialer Enable</v>
      </c>
      <c r="T106">
        <v>0</v>
      </c>
      <c r="U106">
        <v>0</v>
      </c>
    </row>
    <row r="107" spans="1:21" x14ac:dyDescent="0.25">
      <c r="A107" s="3" t="str">
        <f>$A$3&amp;"_"&amp;"PB_ES_SR"</f>
        <v>BXX_DEV1_DM1_PB_ES_SR</v>
      </c>
      <c r="B107" s="6" t="str">
        <f t="shared" si="26"/>
        <v>BXX_DEV1_DM1</v>
      </c>
      <c r="C107" s="6" t="str">
        <f>$C$3&amp;" E-Stop Sup Enable"</f>
        <v>Sample Motor E-Stop Sup Enable</v>
      </c>
      <c r="D107" s="4">
        <f t="shared" ref="D107:D171" si="29">LEN(C107)</f>
        <v>30</v>
      </c>
      <c r="E107" t="s">
        <v>1</v>
      </c>
      <c r="F107" t="s">
        <v>0</v>
      </c>
      <c r="G107" s="2">
        <v>600</v>
      </c>
      <c r="H107" t="s">
        <v>0</v>
      </c>
      <c r="I107" t="s">
        <v>40</v>
      </c>
      <c r="J107" t="s">
        <v>52</v>
      </c>
      <c r="K107" t="s">
        <v>53</v>
      </c>
      <c r="L107" t="s">
        <v>41</v>
      </c>
      <c r="M107">
        <v>1</v>
      </c>
      <c r="N107" t="s">
        <v>49</v>
      </c>
      <c r="O107" s="6" t="str">
        <f t="shared" si="21"/>
        <v>BXX</v>
      </c>
      <c r="P107" t="s">
        <v>1</v>
      </c>
      <c r="Q107" s="6" t="str">
        <f>$A$3&amp;".DA_ES.SR"</f>
        <v>BXX_DEV1_DM1.DA_ES.SR</v>
      </c>
      <c r="R107" t="s">
        <v>1</v>
      </c>
      <c r="S107" s="6" t="str">
        <f t="shared" si="28"/>
        <v>Sample Motor E-Stop Sup Enable</v>
      </c>
      <c r="T107">
        <v>0</v>
      </c>
      <c r="U107">
        <v>0</v>
      </c>
    </row>
    <row r="108" spans="1:21" x14ac:dyDescent="0.25">
      <c r="A108" s="3" t="str">
        <f>$A$3&amp;"_"&amp;"PB_RA_SR"</f>
        <v>BXX_DEV1_DM1_PB_RA_SR</v>
      </c>
      <c r="B108" s="6" t="str">
        <f t="shared" si="26"/>
        <v>BXX_DEV1_DM1</v>
      </c>
      <c r="C108" s="6" t="str">
        <f>$C$3&amp;" Overload Sup Enable"</f>
        <v>Sample Motor Overload Sup Enable</v>
      </c>
      <c r="D108" s="4">
        <f t="shared" si="29"/>
        <v>32</v>
      </c>
      <c r="E108" t="s">
        <v>1</v>
      </c>
      <c r="F108" t="s">
        <v>0</v>
      </c>
      <c r="G108" s="2">
        <v>600</v>
      </c>
      <c r="H108" t="s">
        <v>0</v>
      </c>
      <c r="I108" t="s">
        <v>40</v>
      </c>
      <c r="J108" t="s">
        <v>52</v>
      </c>
      <c r="K108" t="s">
        <v>53</v>
      </c>
      <c r="L108" t="s">
        <v>41</v>
      </c>
      <c r="M108">
        <v>1</v>
      </c>
      <c r="N108" t="s">
        <v>49</v>
      </c>
      <c r="O108" s="6" t="str">
        <f t="shared" si="21"/>
        <v>BXX</v>
      </c>
      <c r="P108" t="s">
        <v>1</v>
      </c>
      <c r="Q108" s="6" t="str">
        <f>$A$3&amp;".DA_RA.SR"</f>
        <v>BXX_DEV1_DM1.DA_RA.SR</v>
      </c>
      <c r="R108" t="s">
        <v>1</v>
      </c>
      <c r="S108" s="6" t="str">
        <f t="shared" si="28"/>
        <v>Sample Motor Overload Sup Enable</v>
      </c>
      <c r="T108">
        <v>0</v>
      </c>
      <c r="U108">
        <v>0</v>
      </c>
    </row>
    <row r="109" spans="1:21" x14ac:dyDescent="0.25">
      <c r="A109" s="3" t="str">
        <f>$A$3&amp;"_"&amp;"PB_PL_SR"</f>
        <v>BXX_DEV1_DM1_PB_PL_SR</v>
      </c>
      <c r="B109" s="6" t="str">
        <f t="shared" si="26"/>
        <v>BXX_DEV1_DM1</v>
      </c>
      <c r="C109" s="6" t="str">
        <f>$C$3&amp;" Loss of Pressure Sup Enable"</f>
        <v>Sample Motor Loss of Pressure Sup Enable</v>
      </c>
      <c r="D109" s="4">
        <f t="shared" si="29"/>
        <v>40</v>
      </c>
      <c r="E109" t="s">
        <v>1</v>
      </c>
      <c r="F109" t="s">
        <v>0</v>
      </c>
      <c r="G109" s="2">
        <v>600</v>
      </c>
      <c r="H109" t="s">
        <v>0</v>
      </c>
      <c r="I109" t="s">
        <v>40</v>
      </c>
      <c r="J109" t="s">
        <v>52</v>
      </c>
      <c r="K109" t="s">
        <v>53</v>
      </c>
      <c r="L109" t="s">
        <v>41</v>
      </c>
      <c r="M109">
        <v>1</v>
      </c>
      <c r="N109" t="s">
        <v>49</v>
      </c>
      <c r="O109" s="6" t="str">
        <f t="shared" si="21"/>
        <v>BXX</v>
      </c>
      <c r="P109" t="s">
        <v>1</v>
      </c>
      <c r="Q109" s="6" t="str">
        <f>$A$3&amp;".DA_PL.SR"</f>
        <v>BXX_DEV1_DM1.DA_PL.SR</v>
      </c>
      <c r="R109" t="s">
        <v>1</v>
      </c>
      <c r="S109" s="6" t="str">
        <f t="shared" si="28"/>
        <v>Sample Motor Loss of Pressure Sup Enable</v>
      </c>
      <c r="T109">
        <v>0</v>
      </c>
      <c r="U109">
        <v>0</v>
      </c>
    </row>
    <row r="110" spans="1:21" x14ac:dyDescent="0.25">
      <c r="A110" s="3" t="str">
        <f>$A$3&amp;"_"&amp;"PB_PH_SR"</f>
        <v>BXX_DEV1_DM1_PB_PH_SR</v>
      </c>
      <c r="B110" s="6" t="str">
        <f t="shared" si="26"/>
        <v>BXX_DEV1_DM1</v>
      </c>
      <c r="C110" s="6" t="str">
        <f>$C$3&amp;" High Disch Pressure Sup Enable"</f>
        <v>Sample Motor High Disch Pressure Sup Enable</v>
      </c>
      <c r="D110" s="4">
        <f t="shared" si="29"/>
        <v>43</v>
      </c>
      <c r="E110" t="s">
        <v>1</v>
      </c>
      <c r="F110" t="s">
        <v>0</v>
      </c>
      <c r="G110" s="2">
        <v>600</v>
      </c>
      <c r="H110" t="s">
        <v>0</v>
      </c>
      <c r="I110" t="s">
        <v>40</v>
      </c>
      <c r="J110" t="s">
        <v>52</v>
      </c>
      <c r="K110" t="s">
        <v>53</v>
      </c>
      <c r="L110" t="s">
        <v>41</v>
      </c>
      <c r="M110">
        <v>1</v>
      </c>
      <c r="N110" t="s">
        <v>49</v>
      </c>
      <c r="O110" s="6" t="str">
        <f t="shared" si="21"/>
        <v>BXX</v>
      </c>
      <c r="P110" t="s">
        <v>1</v>
      </c>
      <c r="Q110" s="6" t="str">
        <f>$A$3&amp;".DA_PH.SR"</f>
        <v>BXX_DEV1_DM1.DA_PH.SR</v>
      </c>
      <c r="R110" t="s">
        <v>1</v>
      </c>
      <c r="S110" s="6" t="str">
        <f t="shared" si="28"/>
        <v>Sample Motor High Disch Pressure Sup Enable</v>
      </c>
      <c r="T110">
        <v>0</v>
      </c>
      <c r="U110">
        <v>0</v>
      </c>
    </row>
    <row r="111" spans="1:21" x14ac:dyDescent="0.25">
      <c r="A111" s="3" t="str">
        <f>$A$3&amp;"_"&amp;"PB_DF_SR"</f>
        <v>BXX_DEV1_DM1_PB_DF_SR</v>
      </c>
      <c r="B111" s="6" t="str">
        <f t="shared" si="26"/>
        <v>BXX_DEV1_DM1</v>
      </c>
      <c r="C111" s="6" t="str">
        <f>$C$3&amp;" Not Ready Sup Enable"</f>
        <v>Sample Motor Not Ready Sup Enable</v>
      </c>
      <c r="D111" s="4">
        <f t="shared" si="29"/>
        <v>33</v>
      </c>
      <c r="E111" t="s">
        <v>1</v>
      </c>
      <c r="F111" t="s">
        <v>0</v>
      </c>
      <c r="G111" s="2">
        <v>600</v>
      </c>
      <c r="H111" t="s">
        <v>0</v>
      </c>
      <c r="I111" t="s">
        <v>40</v>
      </c>
      <c r="J111" t="s">
        <v>52</v>
      </c>
      <c r="K111" t="s">
        <v>53</v>
      </c>
      <c r="L111" t="s">
        <v>41</v>
      </c>
      <c r="M111">
        <v>1</v>
      </c>
      <c r="N111" t="s">
        <v>49</v>
      </c>
      <c r="O111" s="6" t="str">
        <f t="shared" si="21"/>
        <v>BXX</v>
      </c>
      <c r="P111" t="s">
        <v>1</v>
      </c>
      <c r="Q111" s="6" t="str">
        <f>$A$3&amp;".DA_DF.SR"</f>
        <v>BXX_DEV1_DM1.DA_DF.SR</v>
      </c>
      <c r="R111" t="s">
        <v>1</v>
      </c>
      <c r="S111" s="6" t="str">
        <f t="shared" si="28"/>
        <v>Sample Motor Not Ready Sup Enable</v>
      </c>
      <c r="T111">
        <v>0</v>
      </c>
      <c r="U111">
        <v>0</v>
      </c>
    </row>
    <row r="112" spans="1:21" x14ac:dyDescent="0.25">
      <c r="A112" s="3" t="str">
        <f>$A$3&amp;"_"&amp;"PB_MA_SR"</f>
        <v>BXX_DEV1_DM1_PB_MA_SR</v>
      </c>
      <c r="B112" s="6" t="str">
        <f t="shared" si="26"/>
        <v>BXX_DEV1_DM1</v>
      </c>
      <c r="C112" s="6" t="str">
        <f>$C$3&amp;" Loss of Prime Sup Enable"</f>
        <v>Sample Motor Loss of Prime Sup Enable</v>
      </c>
      <c r="D112" s="4">
        <f t="shared" si="29"/>
        <v>37</v>
      </c>
      <c r="E112" t="s">
        <v>1</v>
      </c>
      <c r="F112" t="s">
        <v>0</v>
      </c>
      <c r="G112" s="2">
        <v>600</v>
      </c>
      <c r="H112" t="s">
        <v>0</v>
      </c>
      <c r="I112" t="s">
        <v>40</v>
      </c>
      <c r="J112" t="s">
        <v>52</v>
      </c>
      <c r="K112" t="s">
        <v>53</v>
      </c>
      <c r="L112" t="s">
        <v>41</v>
      </c>
      <c r="M112">
        <v>1</v>
      </c>
      <c r="N112" t="s">
        <v>49</v>
      </c>
      <c r="O112" s="6" t="str">
        <f t="shared" si="21"/>
        <v>BXX</v>
      </c>
      <c r="P112" t="s">
        <v>1</v>
      </c>
      <c r="Q112" s="6" t="str">
        <f>$A$3&amp;".DA_MA.SR"</f>
        <v>BXX_DEV1_DM1.DA_MA.SR</v>
      </c>
      <c r="R112" t="s">
        <v>1</v>
      </c>
      <c r="S112" s="6" t="str">
        <f t="shared" si="28"/>
        <v>Sample Motor Loss of Prime Sup Enable</v>
      </c>
      <c r="T112">
        <v>0</v>
      </c>
      <c r="U112">
        <v>0</v>
      </c>
    </row>
    <row r="113" spans="1:64" x14ac:dyDescent="0.25">
      <c r="A113" s="3" t="str">
        <f>$A$3&amp;"_"&amp;"PB_VM_SR"</f>
        <v>BXX_DEV1_DM1_PB_VM_SR</v>
      </c>
      <c r="B113" s="6" t="str">
        <f t="shared" si="26"/>
        <v>BXX_DEV1_DM1</v>
      </c>
      <c r="C113" s="6" t="str">
        <f>$C$3&amp;" Vacuum Alarm Sup Enable"</f>
        <v>Sample Motor Vacuum Alarm Sup Enable</v>
      </c>
      <c r="D113" s="4">
        <f t="shared" si="29"/>
        <v>36</v>
      </c>
      <c r="E113" t="s">
        <v>1</v>
      </c>
      <c r="F113" t="s">
        <v>0</v>
      </c>
      <c r="G113" s="2">
        <v>600</v>
      </c>
      <c r="H113" t="s">
        <v>0</v>
      </c>
      <c r="I113" t="s">
        <v>40</v>
      </c>
      <c r="J113" t="s">
        <v>52</v>
      </c>
      <c r="K113" t="s">
        <v>53</v>
      </c>
      <c r="L113" t="s">
        <v>41</v>
      </c>
      <c r="M113">
        <v>1</v>
      </c>
      <c r="N113" t="s">
        <v>49</v>
      </c>
      <c r="O113" s="6" t="str">
        <f t="shared" si="21"/>
        <v>BXX</v>
      </c>
      <c r="P113" t="s">
        <v>1</v>
      </c>
      <c r="Q113" s="6" t="str">
        <f>$A$3&amp;".DA_VA.SR"</f>
        <v>BXX_DEV1_DM1.DA_VA.SR</v>
      </c>
      <c r="R113" t="s">
        <v>1</v>
      </c>
      <c r="S113" s="6" t="str">
        <f t="shared" si="28"/>
        <v>Sample Motor Vacuum Alarm Sup Enable</v>
      </c>
      <c r="T113">
        <v>0</v>
      </c>
      <c r="U113">
        <v>0</v>
      </c>
    </row>
    <row r="114" spans="1:64" x14ac:dyDescent="0.25">
      <c r="A114" s="3" t="str">
        <f>$A$3&amp;"_"&amp;"PB_GA_SR"</f>
        <v>BXX_DEV1_DM1_PB_GA_SR</v>
      </c>
      <c r="B114" s="6" t="str">
        <f t="shared" si="26"/>
        <v>BXX_DEV1_DM1</v>
      </c>
      <c r="C114" s="2" t="str">
        <f>$C$3&amp;" Soft Starter/VFD Fault Sup Enable"</f>
        <v>Sample Motor Soft Starter/VFD Fault Sup Enable</v>
      </c>
      <c r="D114" s="4">
        <f t="shared" si="29"/>
        <v>46</v>
      </c>
      <c r="E114" t="s">
        <v>1</v>
      </c>
      <c r="F114" t="s">
        <v>0</v>
      </c>
      <c r="G114" s="2">
        <v>600</v>
      </c>
      <c r="H114" t="s">
        <v>0</v>
      </c>
      <c r="I114" t="s">
        <v>40</v>
      </c>
      <c r="J114" t="s">
        <v>52</v>
      </c>
      <c r="K114" t="s">
        <v>53</v>
      </c>
      <c r="L114" t="s">
        <v>41</v>
      </c>
      <c r="M114">
        <v>1</v>
      </c>
      <c r="N114" t="s">
        <v>49</v>
      </c>
      <c r="O114" s="6" t="str">
        <f t="shared" si="21"/>
        <v>BXX</v>
      </c>
      <c r="P114" t="s">
        <v>1</v>
      </c>
      <c r="Q114" s="6" t="str">
        <f>$A$3&amp;".DA_GA.SR"</f>
        <v>BXX_DEV1_DM1.DA_GA.SR</v>
      </c>
      <c r="R114" t="s">
        <v>1</v>
      </c>
      <c r="S114" s="6" t="str">
        <f t="shared" si="28"/>
        <v>Sample Motor Soft Starter/VFD Fault Sup Enable</v>
      </c>
      <c r="T114">
        <v>0</v>
      </c>
      <c r="U114">
        <v>0</v>
      </c>
    </row>
    <row r="115" spans="1:64" x14ac:dyDescent="0.25">
      <c r="A115" s="3" t="str">
        <f>$A$3&amp;"_"&amp;"PB_HA_SR"</f>
        <v>BXX_DEV1_DM1_PB_HA_SR</v>
      </c>
      <c r="B115" s="6" t="str">
        <f t="shared" si="26"/>
        <v>BXX_DEV1_DM1</v>
      </c>
      <c r="C115" s="6" t="str">
        <f>$C$3&amp;" Overtorque Sup Enable"</f>
        <v>Sample Motor Overtorque Sup Enable</v>
      </c>
      <c r="D115" s="4">
        <f t="shared" si="29"/>
        <v>34</v>
      </c>
      <c r="E115" t="s">
        <v>1</v>
      </c>
      <c r="F115" t="s">
        <v>0</v>
      </c>
      <c r="G115" s="2">
        <v>600</v>
      </c>
      <c r="H115" t="s">
        <v>0</v>
      </c>
      <c r="I115" t="s">
        <v>40</v>
      </c>
      <c r="J115" t="s">
        <v>52</v>
      </c>
      <c r="K115" t="s">
        <v>53</v>
      </c>
      <c r="L115" t="s">
        <v>41</v>
      </c>
      <c r="M115">
        <v>1</v>
      </c>
      <c r="N115" t="s">
        <v>49</v>
      </c>
      <c r="O115" s="6" t="str">
        <f t="shared" si="21"/>
        <v>BXX</v>
      </c>
      <c r="P115" t="s">
        <v>1</v>
      </c>
      <c r="Q115" s="6" t="str">
        <f>$A$3&amp;".DA_HA.SR"</f>
        <v>BXX_DEV1_DM1.DA_HA.SR</v>
      </c>
      <c r="R115" t="s">
        <v>1</v>
      </c>
      <c r="S115" s="6" t="str">
        <f t="shared" si="28"/>
        <v>Sample Motor Overtorque Sup Enable</v>
      </c>
      <c r="T115">
        <v>0</v>
      </c>
      <c r="U115">
        <v>0</v>
      </c>
    </row>
    <row r="116" spans="1:64" x14ac:dyDescent="0.25">
      <c r="A116" s="3" t="str">
        <f>$A$3&amp;"_"&amp;"PB_BT_SR"</f>
        <v>BXX_DEV1_DM1_PB_BT_SR</v>
      </c>
      <c r="B116" s="6" t="str">
        <f t="shared" si="26"/>
        <v>BXX_DEV1_DM1</v>
      </c>
      <c r="C116" s="6" t="str">
        <f>$C$3&amp;" Bearing Temp Sup Enable"</f>
        <v>Sample Motor Bearing Temp Sup Enable</v>
      </c>
      <c r="D116" s="4">
        <f t="shared" si="29"/>
        <v>36</v>
      </c>
      <c r="E116" t="s">
        <v>1</v>
      </c>
      <c r="F116" t="s">
        <v>0</v>
      </c>
      <c r="G116" s="2">
        <v>600</v>
      </c>
      <c r="H116" t="s">
        <v>0</v>
      </c>
      <c r="I116" t="s">
        <v>40</v>
      </c>
      <c r="J116" t="s">
        <v>52</v>
      </c>
      <c r="K116" t="s">
        <v>53</v>
      </c>
      <c r="L116" t="s">
        <v>41</v>
      </c>
      <c r="M116">
        <v>1</v>
      </c>
      <c r="N116" t="s">
        <v>49</v>
      </c>
      <c r="O116" s="6" t="str">
        <f t="shared" si="21"/>
        <v>BXX</v>
      </c>
      <c r="P116" t="s">
        <v>1</v>
      </c>
      <c r="Q116" s="6" t="str">
        <f>$A$3&amp;".DA_BT.SR"</f>
        <v>BXX_DEV1_DM1.DA_BT.SR</v>
      </c>
      <c r="R116" t="s">
        <v>1</v>
      </c>
      <c r="S116" s="6" t="str">
        <f t="shared" si="28"/>
        <v>Sample Motor Bearing Temp Sup Enable</v>
      </c>
      <c r="T116">
        <v>0</v>
      </c>
      <c r="U116">
        <v>0</v>
      </c>
    </row>
    <row r="117" spans="1:64" x14ac:dyDescent="0.25">
      <c r="A117" s="3" t="str">
        <f>$A$3&amp;"_"&amp;"PB_WA_SR"</f>
        <v>BXX_DEV1_DM1_PB_WA_SR</v>
      </c>
      <c r="B117" s="6" t="str">
        <f t="shared" si="26"/>
        <v>BXX_DEV1_DM1</v>
      </c>
      <c r="C117" s="6" t="str">
        <f>$C$3&amp;" Winding Temp Sup Enable"</f>
        <v>Sample Motor Winding Temp Sup Enable</v>
      </c>
      <c r="D117" s="4">
        <f t="shared" si="29"/>
        <v>36</v>
      </c>
      <c r="E117" t="s">
        <v>1</v>
      </c>
      <c r="F117" t="s">
        <v>0</v>
      </c>
      <c r="G117" s="2">
        <v>600</v>
      </c>
      <c r="H117" t="s">
        <v>0</v>
      </c>
      <c r="I117" t="s">
        <v>40</v>
      </c>
      <c r="J117" t="s">
        <v>52</v>
      </c>
      <c r="K117" t="s">
        <v>53</v>
      </c>
      <c r="L117" t="s">
        <v>41</v>
      </c>
      <c r="M117">
        <v>1</v>
      </c>
      <c r="N117" t="s">
        <v>49</v>
      </c>
      <c r="O117" s="6" t="str">
        <f t="shared" si="21"/>
        <v>BXX</v>
      </c>
      <c r="P117" t="s">
        <v>1</v>
      </c>
      <c r="Q117" s="6" t="str">
        <f>$A$3&amp;".DA_WA.SR"</f>
        <v>BXX_DEV1_DM1.DA_WA.SR</v>
      </c>
      <c r="R117" t="s">
        <v>1</v>
      </c>
      <c r="S117" s="6" t="str">
        <f t="shared" si="28"/>
        <v>Sample Motor Winding Temp Sup Enable</v>
      </c>
      <c r="T117">
        <v>0</v>
      </c>
      <c r="U117">
        <v>0</v>
      </c>
    </row>
    <row r="118" spans="1:64" x14ac:dyDescent="0.25">
      <c r="A118" s="3" t="str">
        <f>$A$3&amp;"_"&amp;"PB_TH_SR"</f>
        <v>BXX_DEV1_DM1_PB_TH_SR</v>
      </c>
      <c r="B118" s="6" t="str">
        <f t="shared" si="26"/>
        <v>BXX_DEV1_DM1</v>
      </c>
      <c r="C118" s="6" t="str">
        <f>$C$3&amp;" High Temp Sup Enable"</f>
        <v>Sample Motor High Temp Sup Enable</v>
      </c>
      <c r="D118" s="4">
        <f t="shared" si="29"/>
        <v>33</v>
      </c>
      <c r="E118" t="s">
        <v>1</v>
      </c>
      <c r="F118" t="s">
        <v>0</v>
      </c>
      <c r="G118" s="2">
        <v>600</v>
      </c>
      <c r="H118" t="s">
        <v>0</v>
      </c>
      <c r="I118" t="s">
        <v>40</v>
      </c>
      <c r="J118" t="s">
        <v>52</v>
      </c>
      <c r="K118" t="s">
        <v>53</v>
      </c>
      <c r="L118" t="s">
        <v>41</v>
      </c>
      <c r="M118">
        <v>1</v>
      </c>
      <c r="N118" t="s">
        <v>49</v>
      </c>
      <c r="O118" s="6" t="str">
        <f t="shared" si="21"/>
        <v>BXX</v>
      </c>
      <c r="P118" t="s">
        <v>1</v>
      </c>
      <c r="Q118" s="6" t="str">
        <f>$A$3&amp;".DA_TH.SR"</f>
        <v>BXX_DEV1_DM1.DA_TH.SR</v>
      </c>
      <c r="R118" t="s">
        <v>1</v>
      </c>
      <c r="S118" s="6" t="str">
        <f t="shared" si="28"/>
        <v>Sample Motor High Temp Sup Enable</v>
      </c>
      <c r="T118">
        <v>0</v>
      </c>
      <c r="U118">
        <v>0</v>
      </c>
    </row>
    <row r="119" spans="1:64" x14ac:dyDescent="0.25">
      <c r="A119" s="3" t="str">
        <f>$A$3&amp;"_"&amp;"PB_TA_SR"</f>
        <v>BXX_DEV1_DM1_PB_TA_SR</v>
      </c>
      <c r="B119" s="6" t="str">
        <f t="shared" si="26"/>
        <v>BXX_DEV1_DM1</v>
      </c>
      <c r="C119" s="6" t="str">
        <f>$C$3&amp;" Temp/Leak Sup Enable"</f>
        <v>Sample Motor Temp/Leak Sup Enable</v>
      </c>
      <c r="D119" s="4">
        <f t="shared" si="29"/>
        <v>33</v>
      </c>
      <c r="E119" t="s">
        <v>1</v>
      </c>
      <c r="F119" t="s">
        <v>0</v>
      </c>
      <c r="G119" s="2">
        <v>600</v>
      </c>
      <c r="H119" t="s">
        <v>0</v>
      </c>
      <c r="I119" t="s">
        <v>40</v>
      </c>
      <c r="J119" t="s">
        <v>52</v>
      </c>
      <c r="K119" t="s">
        <v>53</v>
      </c>
      <c r="L119" t="s">
        <v>41</v>
      </c>
      <c r="M119">
        <v>1</v>
      </c>
      <c r="N119" t="s">
        <v>49</v>
      </c>
      <c r="O119" s="6" t="str">
        <f t="shared" si="21"/>
        <v>BXX</v>
      </c>
      <c r="P119" t="s">
        <v>1</v>
      </c>
      <c r="Q119" s="6" t="str">
        <f>$A$3&amp;".DA_TA.SR"</f>
        <v>BXX_DEV1_DM1.DA_TA.SR</v>
      </c>
      <c r="R119" t="s">
        <v>1</v>
      </c>
      <c r="S119" s="6" t="str">
        <f t="shared" si="28"/>
        <v>Sample Motor Temp/Leak Sup Enable</v>
      </c>
      <c r="T119">
        <v>0</v>
      </c>
      <c r="U119">
        <v>0</v>
      </c>
    </row>
    <row r="120" spans="1:64" x14ac:dyDescent="0.25">
      <c r="A120" s="3" t="str">
        <f>$A$3&amp;"_"&amp;"PB_FA_SR"</f>
        <v>BXX_DEV1_DM1_PB_FA_SR</v>
      </c>
      <c r="B120" s="6" t="str">
        <f t="shared" si="26"/>
        <v>BXX_DEV1_DM1</v>
      </c>
      <c r="C120" s="6" t="str">
        <f>$C$3&amp;" No Flow Sup Enable"</f>
        <v>Sample Motor No Flow Sup Enable</v>
      </c>
      <c r="D120" s="4">
        <f t="shared" si="29"/>
        <v>31</v>
      </c>
      <c r="E120" t="s">
        <v>1</v>
      </c>
      <c r="F120" t="s">
        <v>0</v>
      </c>
      <c r="G120" s="2">
        <v>600</v>
      </c>
      <c r="H120" t="s">
        <v>0</v>
      </c>
      <c r="I120" t="s">
        <v>40</v>
      </c>
      <c r="J120" t="s">
        <v>52</v>
      </c>
      <c r="K120" t="s">
        <v>53</v>
      </c>
      <c r="L120" t="s">
        <v>41</v>
      </c>
      <c r="M120">
        <v>1</v>
      </c>
      <c r="N120" t="s">
        <v>49</v>
      </c>
      <c r="O120" s="6" t="str">
        <f t="shared" si="21"/>
        <v>BXX</v>
      </c>
      <c r="P120" t="s">
        <v>1</v>
      </c>
      <c r="Q120" s="6" t="str">
        <f>$A$3&amp;".DA_FA.SR"</f>
        <v>BXX_DEV1_DM1.DA_FA.SR</v>
      </c>
      <c r="R120" t="s">
        <v>1</v>
      </c>
      <c r="S120" s="6" t="str">
        <f t="shared" si="28"/>
        <v>Sample Motor No Flow Sup Enable</v>
      </c>
      <c r="T120">
        <v>0</v>
      </c>
      <c r="U120">
        <v>0</v>
      </c>
    </row>
    <row r="121" spans="1:64" s="121" customFormat="1" x14ac:dyDescent="0.25">
      <c r="A121" s="122" t="s">
        <v>65</v>
      </c>
      <c r="B121" s="122" t="s">
        <v>4</v>
      </c>
      <c r="C121" s="122" t="s">
        <v>5</v>
      </c>
      <c r="D121" s="4">
        <f t="shared" si="29"/>
        <v>7</v>
      </c>
      <c r="E121" s="122" t="s">
        <v>30</v>
      </c>
      <c r="F121" s="122" t="s">
        <v>6</v>
      </c>
      <c r="G121" s="122" t="s">
        <v>7</v>
      </c>
      <c r="H121" s="122" t="s">
        <v>31</v>
      </c>
      <c r="I121" s="122" t="s">
        <v>66</v>
      </c>
      <c r="J121" s="122" t="s">
        <v>67</v>
      </c>
      <c r="K121" s="122" t="s">
        <v>68</v>
      </c>
      <c r="L121" s="122" t="s">
        <v>69</v>
      </c>
      <c r="M121" s="122" t="s">
        <v>70</v>
      </c>
      <c r="N121" s="122" t="s">
        <v>71</v>
      </c>
      <c r="O121" s="122" t="s">
        <v>72</v>
      </c>
      <c r="P121" s="122" t="s">
        <v>73</v>
      </c>
      <c r="Q121" s="122" t="s">
        <v>74</v>
      </c>
      <c r="R121" s="122" t="s">
        <v>75</v>
      </c>
      <c r="S121" s="122" t="s">
        <v>76</v>
      </c>
      <c r="T121" s="122" t="s">
        <v>77</v>
      </c>
      <c r="U121" s="122" t="s">
        <v>78</v>
      </c>
      <c r="V121" s="122" t="s">
        <v>79</v>
      </c>
      <c r="W121" s="122" t="s">
        <v>80</v>
      </c>
      <c r="X121" s="122" t="s">
        <v>81</v>
      </c>
      <c r="Y121" s="122" t="s">
        <v>82</v>
      </c>
      <c r="Z121" s="122" t="s">
        <v>83</v>
      </c>
      <c r="AA121" s="122" t="s">
        <v>84</v>
      </c>
      <c r="AB121" s="122" t="s">
        <v>85</v>
      </c>
      <c r="AC121" s="122" t="s">
        <v>86</v>
      </c>
      <c r="AD121" s="122" t="s">
        <v>87</v>
      </c>
      <c r="AE121" s="122" t="s">
        <v>88</v>
      </c>
      <c r="AF121" s="122" t="s">
        <v>89</v>
      </c>
      <c r="AG121" s="122" t="s">
        <v>90</v>
      </c>
      <c r="AH121" s="122" t="s">
        <v>91</v>
      </c>
      <c r="AI121" s="122" t="s">
        <v>92</v>
      </c>
      <c r="AJ121" s="122" t="s">
        <v>93</v>
      </c>
      <c r="AK121" s="122" t="s">
        <v>94</v>
      </c>
      <c r="AL121" s="122" t="s">
        <v>95</v>
      </c>
      <c r="AM121" s="122" t="s">
        <v>96</v>
      </c>
      <c r="AN121" s="122" t="s">
        <v>97</v>
      </c>
      <c r="AO121" s="122" t="s">
        <v>37</v>
      </c>
      <c r="AP121" s="122" t="s">
        <v>38</v>
      </c>
      <c r="AQ121" s="122" t="s">
        <v>8</v>
      </c>
      <c r="AR121" s="122" t="s">
        <v>9</v>
      </c>
      <c r="AS121" s="122" t="s">
        <v>10</v>
      </c>
      <c r="AT121" s="122" t="s">
        <v>11</v>
      </c>
      <c r="AU121" s="122" t="s">
        <v>12</v>
      </c>
      <c r="AV121" s="122" t="s">
        <v>13</v>
      </c>
      <c r="AW121" s="122" t="s">
        <v>14</v>
      </c>
      <c r="AX121" s="122" t="s">
        <v>16</v>
      </c>
      <c r="AY121" s="122" t="s">
        <v>17</v>
      </c>
      <c r="AZ121" s="122" t="s">
        <v>18</v>
      </c>
      <c r="BA121" s="122" t="s">
        <v>19</v>
      </c>
      <c r="BB121" s="122" t="s">
        <v>20</v>
      </c>
      <c r="BC121" s="122" t="s">
        <v>21</v>
      </c>
      <c r="BD121" s="122" t="s">
        <v>22</v>
      </c>
      <c r="BE121" s="122" t="s">
        <v>39</v>
      </c>
    </row>
    <row r="122" spans="1:64" s="121" customFormat="1" x14ac:dyDescent="0.25">
      <c r="A122" s="123" t="s">
        <v>290</v>
      </c>
      <c r="B122" s="123" t="s">
        <v>144</v>
      </c>
      <c r="C122" s="123" t="s">
        <v>291</v>
      </c>
      <c r="D122" s="4">
        <f t="shared" si="29"/>
        <v>40</v>
      </c>
      <c r="E122" s="124" t="s">
        <v>1</v>
      </c>
      <c r="F122" s="124" t="s">
        <v>1</v>
      </c>
      <c r="G122" s="124">
        <v>0</v>
      </c>
      <c r="H122" s="124" t="s">
        <v>1</v>
      </c>
      <c r="I122" s="124" t="s">
        <v>1</v>
      </c>
      <c r="J122" s="124">
        <v>0</v>
      </c>
      <c r="K122" s="124">
        <v>0</v>
      </c>
      <c r="L122" s="124"/>
      <c r="M122" s="124">
        <v>0</v>
      </c>
      <c r="N122" s="124">
        <v>0</v>
      </c>
      <c r="O122" s="124">
        <v>9999</v>
      </c>
      <c r="P122" s="124">
        <v>0</v>
      </c>
      <c r="Q122" s="124">
        <v>0</v>
      </c>
      <c r="R122" s="124" t="s">
        <v>40</v>
      </c>
      <c r="S122" s="124">
        <v>0</v>
      </c>
      <c r="T122" s="124">
        <v>1</v>
      </c>
      <c r="U122" s="124" t="s">
        <v>40</v>
      </c>
      <c r="V122" s="124">
        <v>0</v>
      </c>
      <c r="W122" s="124">
        <v>1</v>
      </c>
      <c r="X122" s="124" t="s">
        <v>40</v>
      </c>
      <c r="Y122" s="124">
        <v>0</v>
      </c>
      <c r="Z122" s="124">
        <v>1</v>
      </c>
      <c r="AA122" s="124" t="s">
        <v>40</v>
      </c>
      <c r="AB122" s="124">
        <v>0</v>
      </c>
      <c r="AC122" s="124">
        <v>1</v>
      </c>
      <c r="AD122" s="124" t="s">
        <v>40</v>
      </c>
      <c r="AE122" s="124">
        <v>0</v>
      </c>
      <c r="AF122" s="124">
        <v>1</v>
      </c>
      <c r="AG122" s="124" t="s">
        <v>40</v>
      </c>
      <c r="AH122" s="124">
        <v>0</v>
      </c>
      <c r="AI122" s="124">
        <v>1</v>
      </c>
      <c r="AJ122" s="124">
        <v>0</v>
      </c>
      <c r="AK122" s="124" t="s">
        <v>40</v>
      </c>
      <c r="AL122" s="124">
        <v>0</v>
      </c>
      <c r="AM122" s="124">
        <v>1</v>
      </c>
      <c r="AN122" s="124" t="s">
        <v>98</v>
      </c>
      <c r="AO122" s="124" t="s">
        <v>291</v>
      </c>
      <c r="AP122" s="124">
        <v>0</v>
      </c>
      <c r="AQ122" s="124">
        <v>0</v>
      </c>
      <c r="AR122" s="124">
        <v>0</v>
      </c>
      <c r="AS122" s="124">
        <v>0</v>
      </c>
      <c r="AT122" s="124">
        <v>0</v>
      </c>
      <c r="AU122" s="124">
        <v>0</v>
      </c>
      <c r="AV122" s="124">
        <v>0</v>
      </c>
      <c r="AW122" s="124">
        <v>0</v>
      </c>
    </row>
    <row r="123" spans="1:64" s="122" customFormat="1" x14ac:dyDescent="0.25">
      <c r="A123" s="123" t="s">
        <v>292</v>
      </c>
      <c r="B123" s="123" t="s">
        <v>144</v>
      </c>
      <c r="C123" s="123" t="s">
        <v>291</v>
      </c>
      <c r="D123" s="4">
        <f t="shared" si="29"/>
        <v>40</v>
      </c>
      <c r="E123" s="124" t="s">
        <v>1</v>
      </c>
      <c r="F123" s="124" t="s">
        <v>1</v>
      </c>
      <c r="G123" s="124">
        <v>0</v>
      </c>
      <c r="H123" s="124" t="s">
        <v>1</v>
      </c>
      <c r="I123" s="124" t="s">
        <v>1</v>
      </c>
      <c r="J123" s="124">
        <v>0</v>
      </c>
      <c r="K123" s="124">
        <v>0</v>
      </c>
      <c r="L123" s="124"/>
      <c r="M123" s="124">
        <v>0</v>
      </c>
      <c r="N123" s="124">
        <v>0</v>
      </c>
      <c r="O123" s="124">
        <v>9999</v>
      </c>
      <c r="P123" s="124">
        <v>0</v>
      </c>
      <c r="Q123" s="124">
        <v>0</v>
      </c>
      <c r="R123" s="124" t="s">
        <v>40</v>
      </c>
      <c r="S123" s="124">
        <v>0</v>
      </c>
      <c r="T123" s="124">
        <v>1</v>
      </c>
      <c r="U123" s="124" t="s">
        <v>40</v>
      </c>
      <c r="V123" s="124">
        <v>0</v>
      </c>
      <c r="W123" s="124">
        <v>1</v>
      </c>
      <c r="X123" s="124" t="s">
        <v>40</v>
      </c>
      <c r="Y123" s="124">
        <v>0</v>
      </c>
      <c r="Z123" s="124">
        <v>1</v>
      </c>
      <c r="AA123" s="124" t="s">
        <v>40</v>
      </c>
      <c r="AB123" s="124">
        <v>0</v>
      </c>
      <c r="AC123" s="124">
        <v>1</v>
      </c>
      <c r="AD123" s="124" t="s">
        <v>40</v>
      </c>
      <c r="AE123" s="124">
        <v>0</v>
      </c>
      <c r="AF123" s="124">
        <v>1</v>
      </c>
      <c r="AG123" s="124" t="s">
        <v>40</v>
      </c>
      <c r="AH123" s="124">
        <v>0</v>
      </c>
      <c r="AI123" s="124">
        <v>1</v>
      </c>
      <c r="AJ123" s="124">
        <v>0</v>
      </c>
      <c r="AK123" s="124" t="s">
        <v>40</v>
      </c>
      <c r="AL123" s="124">
        <v>0</v>
      </c>
      <c r="AM123" s="124">
        <v>1</v>
      </c>
      <c r="AN123" s="124" t="s">
        <v>98</v>
      </c>
      <c r="AO123" s="124" t="s">
        <v>291</v>
      </c>
      <c r="AP123" s="124">
        <v>0</v>
      </c>
      <c r="AQ123" s="124">
        <v>0</v>
      </c>
      <c r="AR123" s="124">
        <v>0</v>
      </c>
      <c r="AS123" s="124">
        <v>0</v>
      </c>
      <c r="AT123" s="124">
        <v>0</v>
      </c>
      <c r="AU123" s="124">
        <v>0</v>
      </c>
      <c r="AV123" s="124">
        <v>0</v>
      </c>
      <c r="AW123" s="124">
        <v>0</v>
      </c>
    </row>
    <row r="124" spans="1:64" s="121" customFormat="1" x14ac:dyDescent="0.25">
      <c r="A124" s="123" t="s">
        <v>293</v>
      </c>
      <c r="B124" s="123" t="s">
        <v>144</v>
      </c>
      <c r="C124" s="123" t="s">
        <v>291</v>
      </c>
      <c r="D124" s="4">
        <f t="shared" si="29"/>
        <v>40</v>
      </c>
      <c r="E124" s="124" t="s">
        <v>1</v>
      </c>
      <c r="F124" s="124" t="s">
        <v>1</v>
      </c>
      <c r="G124" s="124">
        <v>0</v>
      </c>
      <c r="H124" s="124" t="s">
        <v>1</v>
      </c>
      <c r="I124" s="124" t="s">
        <v>1</v>
      </c>
      <c r="J124" s="124">
        <v>0</v>
      </c>
      <c r="K124" s="124">
        <v>0</v>
      </c>
      <c r="L124" s="124"/>
      <c r="M124" s="124">
        <v>0</v>
      </c>
      <c r="N124" s="124">
        <v>0</v>
      </c>
      <c r="O124" s="124">
        <v>9999</v>
      </c>
      <c r="P124" s="124">
        <v>0</v>
      </c>
      <c r="Q124" s="124">
        <v>0</v>
      </c>
      <c r="R124" s="124" t="s">
        <v>40</v>
      </c>
      <c r="S124" s="124">
        <v>0</v>
      </c>
      <c r="T124" s="124">
        <v>1</v>
      </c>
      <c r="U124" s="124" t="s">
        <v>40</v>
      </c>
      <c r="V124" s="124">
        <v>0</v>
      </c>
      <c r="W124" s="124">
        <v>1</v>
      </c>
      <c r="X124" s="124" t="s">
        <v>40</v>
      </c>
      <c r="Y124" s="124">
        <v>0</v>
      </c>
      <c r="Z124" s="124">
        <v>1</v>
      </c>
      <c r="AA124" s="124" t="s">
        <v>40</v>
      </c>
      <c r="AB124" s="124">
        <v>0</v>
      </c>
      <c r="AC124" s="124">
        <v>1</v>
      </c>
      <c r="AD124" s="124" t="s">
        <v>40</v>
      </c>
      <c r="AE124" s="124">
        <v>0</v>
      </c>
      <c r="AF124" s="124">
        <v>1</v>
      </c>
      <c r="AG124" s="124" t="s">
        <v>40</v>
      </c>
      <c r="AH124" s="124">
        <v>0</v>
      </c>
      <c r="AI124" s="124">
        <v>1</v>
      </c>
      <c r="AJ124" s="124">
        <v>0</v>
      </c>
      <c r="AK124" s="124" t="s">
        <v>40</v>
      </c>
      <c r="AL124" s="124">
        <v>0</v>
      </c>
      <c r="AM124" s="124">
        <v>1</v>
      </c>
      <c r="AN124" s="124" t="s">
        <v>98</v>
      </c>
      <c r="AO124" s="124" t="s">
        <v>291</v>
      </c>
      <c r="AP124" s="124">
        <v>0</v>
      </c>
      <c r="AQ124" s="124">
        <v>0</v>
      </c>
      <c r="AR124" s="124">
        <v>0</v>
      </c>
      <c r="AS124" s="124">
        <v>0</v>
      </c>
      <c r="AT124" s="124">
        <v>0</v>
      </c>
      <c r="AU124" s="124">
        <v>0</v>
      </c>
      <c r="AV124" s="124">
        <v>0</v>
      </c>
      <c r="AW124" s="124">
        <v>0</v>
      </c>
    </row>
    <row r="125" spans="1:64" s="124" customFormat="1" x14ac:dyDescent="0.25">
      <c r="A125" s="125" t="s">
        <v>294</v>
      </c>
      <c r="B125" s="125" t="s">
        <v>144</v>
      </c>
      <c r="C125" s="125" t="s">
        <v>527</v>
      </c>
      <c r="D125" s="4">
        <f t="shared" si="29"/>
        <v>48</v>
      </c>
      <c r="E125" s="262" t="s">
        <v>1</v>
      </c>
      <c r="F125" s="262" t="s">
        <v>1</v>
      </c>
      <c r="G125" s="262">
        <v>0</v>
      </c>
      <c r="H125" s="262" t="s">
        <v>1</v>
      </c>
      <c r="I125" s="262" t="s">
        <v>1</v>
      </c>
      <c r="J125" s="262">
        <v>0</v>
      </c>
      <c r="K125" s="262">
        <v>0</v>
      </c>
      <c r="L125" s="262"/>
      <c r="M125" s="262">
        <v>0</v>
      </c>
      <c r="N125" s="262">
        <v>0</v>
      </c>
      <c r="O125" s="262">
        <v>9999</v>
      </c>
      <c r="P125" s="262">
        <v>0</v>
      </c>
      <c r="Q125" s="262">
        <v>0</v>
      </c>
      <c r="R125" s="262" t="s">
        <v>40</v>
      </c>
      <c r="S125" s="262">
        <v>0</v>
      </c>
      <c r="T125" s="262">
        <v>1</v>
      </c>
      <c r="U125" s="262" t="s">
        <v>40</v>
      </c>
      <c r="V125" s="262">
        <v>0</v>
      </c>
      <c r="W125" s="262">
        <v>1</v>
      </c>
      <c r="X125" s="262" t="s">
        <v>40</v>
      </c>
      <c r="Y125" s="262">
        <v>0</v>
      </c>
      <c r="Z125" s="262">
        <v>1</v>
      </c>
      <c r="AA125" s="262" t="s">
        <v>40</v>
      </c>
      <c r="AB125" s="262">
        <v>0</v>
      </c>
      <c r="AC125" s="262">
        <v>1</v>
      </c>
      <c r="AD125" s="262" t="s">
        <v>40</v>
      </c>
      <c r="AE125" s="262">
        <v>0</v>
      </c>
      <c r="AF125" s="262">
        <v>1</v>
      </c>
      <c r="AG125" s="262" t="s">
        <v>40</v>
      </c>
      <c r="AH125" s="262">
        <v>0</v>
      </c>
      <c r="AI125" s="262">
        <v>1</v>
      </c>
      <c r="AJ125" s="262">
        <v>0</v>
      </c>
      <c r="AK125" s="262" t="s">
        <v>40</v>
      </c>
      <c r="AL125" s="262">
        <v>0</v>
      </c>
      <c r="AM125" s="262">
        <v>1</v>
      </c>
      <c r="AN125" s="262" t="s">
        <v>98</v>
      </c>
      <c r="AO125" s="262" t="s">
        <v>527</v>
      </c>
      <c r="AP125" s="262">
        <v>0</v>
      </c>
      <c r="AQ125" s="262">
        <v>0</v>
      </c>
      <c r="AR125" s="262">
        <v>0</v>
      </c>
      <c r="AS125" s="262">
        <v>0</v>
      </c>
      <c r="AT125" s="262">
        <v>0</v>
      </c>
      <c r="AU125" s="262">
        <v>0</v>
      </c>
      <c r="AV125" s="262">
        <v>0</v>
      </c>
      <c r="AW125" s="262">
        <v>0</v>
      </c>
    </row>
    <row r="126" spans="1:64" x14ac:dyDescent="0.25">
      <c r="A126" s="1" t="s">
        <v>100</v>
      </c>
      <c r="B126" t="s">
        <v>4</v>
      </c>
      <c r="C126" t="s">
        <v>5</v>
      </c>
      <c r="D126" s="4">
        <f t="shared" si="29"/>
        <v>7</v>
      </c>
      <c r="E126" t="s">
        <v>30</v>
      </c>
      <c r="F126" t="s">
        <v>6</v>
      </c>
      <c r="G126" t="s">
        <v>7</v>
      </c>
      <c r="H126" t="s">
        <v>31</v>
      </c>
      <c r="I126" t="s">
        <v>66</v>
      </c>
      <c r="J126" t="s">
        <v>67</v>
      </c>
      <c r="K126" t="s">
        <v>68</v>
      </c>
      <c r="L126" t="s">
        <v>69</v>
      </c>
      <c r="M126" t="s">
        <v>70</v>
      </c>
      <c r="N126" t="s">
        <v>101</v>
      </c>
      <c r="O126" t="s">
        <v>102</v>
      </c>
      <c r="P126" t="s">
        <v>73</v>
      </c>
      <c r="Q126" t="s">
        <v>74</v>
      </c>
      <c r="R126" t="s">
        <v>75</v>
      </c>
      <c r="S126" t="s">
        <v>76</v>
      </c>
      <c r="T126" t="s">
        <v>77</v>
      </c>
      <c r="U126" t="s">
        <v>78</v>
      </c>
      <c r="V126" t="s">
        <v>79</v>
      </c>
      <c r="W126" t="s">
        <v>80</v>
      </c>
      <c r="X126" t="s">
        <v>81</v>
      </c>
      <c r="Y126" t="s">
        <v>82</v>
      </c>
      <c r="Z126" t="s">
        <v>83</v>
      </c>
      <c r="AA126" t="s">
        <v>84</v>
      </c>
      <c r="AB126" t="s">
        <v>85</v>
      </c>
      <c r="AC126" t="s">
        <v>86</v>
      </c>
      <c r="AD126" t="s">
        <v>87</v>
      </c>
      <c r="AE126" t="s">
        <v>88</v>
      </c>
      <c r="AF126" t="s">
        <v>89</v>
      </c>
      <c r="AG126" t="s">
        <v>90</v>
      </c>
      <c r="AH126" t="s">
        <v>91</v>
      </c>
      <c r="AI126" t="s">
        <v>92</v>
      </c>
      <c r="AJ126" t="s">
        <v>93</v>
      </c>
      <c r="AK126" t="s">
        <v>94</v>
      </c>
      <c r="AL126" t="s">
        <v>95</v>
      </c>
      <c r="AM126" t="s">
        <v>96</v>
      </c>
      <c r="AN126" t="s">
        <v>97</v>
      </c>
      <c r="AO126" t="s">
        <v>103</v>
      </c>
      <c r="AP126" t="s">
        <v>104</v>
      </c>
      <c r="AQ126" t="s">
        <v>105</v>
      </c>
      <c r="AR126" t="s">
        <v>45</v>
      </c>
      <c r="AS126" t="s">
        <v>46</v>
      </c>
      <c r="AT126" t="s">
        <v>47</v>
      </c>
      <c r="AU126" t="s">
        <v>48</v>
      </c>
      <c r="AV126" t="s">
        <v>37</v>
      </c>
      <c r="AW126" t="s">
        <v>38</v>
      </c>
      <c r="AX126" t="s">
        <v>8</v>
      </c>
      <c r="AY126" t="s">
        <v>9</v>
      </c>
      <c r="AZ126" t="s">
        <v>10</v>
      </c>
      <c r="BA126" t="s">
        <v>11</v>
      </c>
      <c r="BB126" t="s">
        <v>12</v>
      </c>
      <c r="BC126" t="s">
        <v>13</v>
      </c>
      <c r="BD126" t="s">
        <v>14</v>
      </c>
      <c r="BE126" t="s">
        <v>16</v>
      </c>
      <c r="BF126" t="s">
        <v>17</v>
      </c>
      <c r="BG126" t="s">
        <v>18</v>
      </c>
      <c r="BH126" t="s">
        <v>19</v>
      </c>
      <c r="BI126" t="s">
        <v>20</v>
      </c>
      <c r="BJ126" t="s">
        <v>21</v>
      </c>
      <c r="BK126" t="s">
        <v>22</v>
      </c>
      <c r="BL126" t="s">
        <v>39</v>
      </c>
    </row>
    <row r="127" spans="1:64" x14ac:dyDescent="0.25">
      <c r="A127" s="3" t="str">
        <f>$A$3&amp;"_"&amp;"AI_TD"</f>
        <v>BXX_DEV1_DM1_AI_TD</v>
      </c>
      <c r="B127" s="6" t="str">
        <f>$A$3</f>
        <v>BXX_DEV1_DM1</v>
      </c>
      <c r="C127" s="6" t="str">
        <f>$C$3&amp;" Starts Today"</f>
        <v>Sample Motor Starts Today</v>
      </c>
      <c r="D127" s="4">
        <f t="shared" si="29"/>
        <v>25</v>
      </c>
      <c r="E127" t="s">
        <v>1</v>
      </c>
      <c r="F127" t="s">
        <v>1</v>
      </c>
      <c r="G127">
        <v>0</v>
      </c>
      <c r="H127" t="s">
        <v>0</v>
      </c>
      <c r="I127" t="s">
        <v>1</v>
      </c>
      <c r="J127">
        <v>0</v>
      </c>
      <c r="K127">
        <v>0</v>
      </c>
      <c r="L127" t="s">
        <v>129</v>
      </c>
      <c r="M127">
        <v>0</v>
      </c>
      <c r="N127">
        <v>0</v>
      </c>
      <c r="O127">
        <v>1000000</v>
      </c>
      <c r="P127">
        <v>0</v>
      </c>
      <c r="Q127">
        <v>0</v>
      </c>
      <c r="R127" t="s">
        <v>40</v>
      </c>
      <c r="S127">
        <v>0</v>
      </c>
      <c r="T127">
        <v>1</v>
      </c>
      <c r="U127" t="s">
        <v>40</v>
      </c>
      <c r="V127">
        <v>0</v>
      </c>
      <c r="W127">
        <v>1</v>
      </c>
      <c r="X127" t="s">
        <v>40</v>
      </c>
      <c r="Y127">
        <v>0</v>
      </c>
      <c r="Z127">
        <v>1</v>
      </c>
      <c r="AA127" t="s">
        <v>40</v>
      </c>
      <c r="AB127">
        <v>0</v>
      </c>
      <c r="AC127">
        <v>1</v>
      </c>
      <c r="AD127" t="s">
        <v>40</v>
      </c>
      <c r="AE127">
        <v>0</v>
      </c>
      <c r="AF127">
        <v>1</v>
      </c>
      <c r="AG127" t="s">
        <v>40</v>
      </c>
      <c r="AH127">
        <v>0</v>
      </c>
      <c r="AI127">
        <v>1</v>
      </c>
      <c r="AJ127">
        <v>0</v>
      </c>
      <c r="AK127" t="s">
        <v>40</v>
      </c>
      <c r="AL127">
        <v>0</v>
      </c>
      <c r="AM127">
        <v>1</v>
      </c>
      <c r="AN127" t="s">
        <v>98</v>
      </c>
      <c r="AO127">
        <v>0</v>
      </c>
      <c r="AP127">
        <v>1000000</v>
      </c>
      <c r="AQ127" t="s">
        <v>106</v>
      </c>
      <c r="AR127" s="6" t="str">
        <f>$O$9</f>
        <v>BXX</v>
      </c>
      <c r="AS127" t="s">
        <v>1</v>
      </c>
      <c r="AT127" s="6" t="str">
        <f>$A$3&amp;".AI_TD"</f>
        <v>BXX_DEV1_DM1.AI_TD</v>
      </c>
      <c r="AU127" t="s">
        <v>1</v>
      </c>
      <c r="AV127" s="6" t="str">
        <f t="shared" ref="AV127:AV137" si="30">C127</f>
        <v>Sample Motor Starts Today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</row>
    <row r="128" spans="1:64" x14ac:dyDescent="0.25">
      <c r="A128" s="3" t="str">
        <f>$A$3&amp;"_"&amp;"AI_MT"</f>
        <v>BXX_DEV1_DM1_AI_MT</v>
      </c>
      <c r="B128" s="6" t="str">
        <f>$A$3</f>
        <v>BXX_DEV1_DM1</v>
      </c>
      <c r="C128" s="6" t="str">
        <f>$C$3&amp;" Starts This Month"</f>
        <v>Sample Motor Starts This Month</v>
      </c>
      <c r="D128" s="4">
        <f t="shared" si="29"/>
        <v>30</v>
      </c>
      <c r="E128" t="s">
        <v>1</v>
      </c>
      <c r="F128" t="s">
        <v>1</v>
      </c>
      <c r="G128">
        <v>0</v>
      </c>
      <c r="H128" t="s">
        <v>0</v>
      </c>
      <c r="I128" t="s">
        <v>1</v>
      </c>
      <c r="J128">
        <v>0</v>
      </c>
      <c r="K128">
        <v>0</v>
      </c>
      <c r="L128" t="s">
        <v>129</v>
      </c>
      <c r="M128">
        <v>0</v>
      </c>
      <c r="N128">
        <v>0</v>
      </c>
      <c r="O128">
        <v>1000000</v>
      </c>
      <c r="P128">
        <v>0</v>
      </c>
      <c r="Q128">
        <v>0</v>
      </c>
      <c r="R128" t="s">
        <v>40</v>
      </c>
      <c r="S128">
        <v>0</v>
      </c>
      <c r="T128">
        <v>1</v>
      </c>
      <c r="U128" t="s">
        <v>40</v>
      </c>
      <c r="V128">
        <v>0</v>
      </c>
      <c r="W128">
        <v>1</v>
      </c>
      <c r="X128" t="s">
        <v>40</v>
      </c>
      <c r="Y128">
        <v>0</v>
      </c>
      <c r="Z128">
        <v>1</v>
      </c>
      <c r="AA128" t="s">
        <v>40</v>
      </c>
      <c r="AB128">
        <v>0</v>
      </c>
      <c r="AC128">
        <v>1</v>
      </c>
      <c r="AD128" t="s">
        <v>40</v>
      </c>
      <c r="AE128">
        <v>0</v>
      </c>
      <c r="AF128">
        <v>1</v>
      </c>
      <c r="AG128" t="s">
        <v>40</v>
      </c>
      <c r="AH128">
        <v>0</v>
      </c>
      <c r="AI128">
        <v>1</v>
      </c>
      <c r="AJ128">
        <v>0</v>
      </c>
      <c r="AK128" t="s">
        <v>40</v>
      </c>
      <c r="AL128">
        <v>0</v>
      </c>
      <c r="AM128">
        <v>1</v>
      </c>
      <c r="AN128" t="s">
        <v>98</v>
      </c>
      <c r="AO128">
        <v>0</v>
      </c>
      <c r="AP128">
        <v>1000000</v>
      </c>
      <c r="AQ128" t="s">
        <v>106</v>
      </c>
      <c r="AR128" s="6" t="str">
        <f>$O$9</f>
        <v>BXX</v>
      </c>
      <c r="AS128" t="s">
        <v>1</v>
      </c>
      <c r="AT128" s="6" t="str">
        <f>$A$3&amp;".AI_MT"</f>
        <v>BXX_DEV1_DM1.AI_MT</v>
      </c>
      <c r="AU128" t="s">
        <v>1</v>
      </c>
      <c r="AV128" s="6" t="str">
        <f t="shared" si="30"/>
        <v>Sample Motor Starts This Month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</row>
    <row r="129" spans="1:64" x14ac:dyDescent="0.25">
      <c r="A129" s="3" t="str">
        <f>$A$3&amp;"_"&amp;"AI_MX"</f>
        <v>BXX_DEV1_DM1_AI_MX</v>
      </c>
      <c r="B129" s="6" t="str">
        <f>$A$3</f>
        <v>BXX_DEV1_DM1</v>
      </c>
      <c r="C129" s="6" t="str">
        <f>$C$3&amp;" Total Starts"</f>
        <v>Sample Motor Total Starts</v>
      </c>
      <c r="D129" s="4">
        <f t="shared" si="29"/>
        <v>25</v>
      </c>
      <c r="E129" t="s">
        <v>0</v>
      </c>
      <c r="F129" t="s">
        <v>1</v>
      </c>
      <c r="G129">
        <v>0</v>
      </c>
      <c r="H129" t="s">
        <v>0</v>
      </c>
      <c r="I129" t="s">
        <v>1</v>
      </c>
      <c r="J129">
        <v>0</v>
      </c>
      <c r="K129">
        <v>0</v>
      </c>
      <c r="L129" t="s">
        <v>129</v>
      </c>
      <c r="M129">
        <v>0</v>
      </c>
      <c r="N129">
        <v>0</v>
      </c>
      <c r="O129">
        <v>1000000</v>
      </c>
      <c r="P129">
        <v>0</v>
      </c>
      <c r="Q129">
        <v>1</v>
      </c>
      <c r="R129" t="s">
        <v>40</v>
      </c>
      <c r="S129">
        <v>0</v>
      </c>
      <c r="T129">
        <v>1</v>
      </c>
      <c r="U129" t="s">
        <v>40</v>
      </c>
      <c r="V129">
        <v>0</v>
      </c>
      <c r="W129">
        <v>1</v>
      </c>
      <c r="X129" t="s">
        <v>40</v>
      </c>
      <c r="Y129">
        <v>0</v>
      </c>
      <c r="Z129">
        <v>1</v>
      </c>
      <c r="AA129" t="s">
        <v>40</v>
      </c>
      <c r="AB129">
        <v>0</v>
      </c>
      <c r="AC129">
        <v>1</v>
      </c>
      <c r="AD129" t="s">
        <v>40</v>
      </c>
      <c r="AE129">
        <v>0</v>
      </c>
      <c r="AF129">
        <v>1</v>
      </c>
      <c r="AG129" t="s">
        <v>40</v>
      </c>
      <c r="AH129">
        <v>0</v>
      </c>
      <c r="AI129">
        <v>1</v>
      </c>
      <c r="AJ129">
        <v>0</v>
      </c>
      <c r="AK129" t="s">
        <v>40</v>
      </c>
      <c r="AL129">
        <v>0</v>
      </c>
      <c r="AM129">
        <v>1</v>
      </c>
      <c r="AN129" t="s">
        <v>98</v>
      </c>
      <c r="AO129">
        <v>0</v>
      </c>
      <c r="AP129">
        <v>1000000</v>
      </c>
      <c r="AQ129" t="s">
        <v>106</v>
      </c>
      <c r="AR129" s="6" t="str">
        <f>$O$9</f>
        <v>BXX</v>
      </c>
      <c r="AS129" t="s">
        <v>1</v>
      </c>
      <c r="AT129" s="6" t="str">
        <f>$A$3&amp;".AI_MX"</f>
        <v>BXX_DEV1_DM1.AI_MX</v>
      </c>
      <c r="AU129" t="s">
        <v>1</v>
      </c>
      <c r="AV129" s="6" t="str">
        <f t="shared" si="30"/>
        <v>Sample Motor Total Starts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</row>
    <row r="130" spans="1:64" x14ac:dyDescent="0.25">
      <c r="A130" s="3" t="str">
        <f>$A$5&amp;"_"&amp;"AI_VI"</f>
        <v>BXX_DEV1_SI1_AI_VI</v>
      </c>
      <c r="B130" s="6" t="str">
        <f>$A$5</f>
        <v>BXX_DEV1_SI1</v>
      </c>
      <c r="C130" s="6" t="str">
        <f>$C$5 &amp; " Number of Visible Eng Values"</f>
        <v>Sample Motor Speed Number of Visible Eng Values</v>
      </c>
      <c r="D130" s="4">
        <f t="shared" si="29"/>
        <v>47</v>
      </c>
      <c r="E130" t="s">
        <v>1</v>
      </c>
      <c r="F130" t="s">
        <v>0</v>
      </c>
      <c r="G130" s="2">
        <v>700</v>
      </c>
      <c r="H130" t="s">
        <v>0</v>
      </c>
      <c r="I130" t="s">
        <v>1</v>
      </c>
      <c r="J130">
        <v>0</v>
      </c>
      <c r="K130">
        <v>0</v>
      </c>
      <c r="M130" s="6">
        <f>N130</f>
        <v>1</v>
      </c>
      <c r="N130">
        <v>1</v>
      </c>
      <c r="O130">
        <v>3</v>
      </c>
      <c r="P130">
        <v>0</v>
      </c>
      <c r="Q130">
        <v>0</v>
      </c>
      <c r="R130" t="s">
        <v>40</v>
      </c>
      <c r="S130">
        <v>0</v>
      </c>
      <c r="T130">
        <v>1</v>
      </c>
      <c r="U130" t="s">
        <v>40</v>
      </c>
      <c r="V130">
        <v>0</v>
      </c>
      <c r="W130">
        <v>1</v>
      </c>
      <c r="X130" t="s">
        <v>40</v>
      </c>
      <c r="Y130">
        <v>0</v>
      </c>
      <c r="Z130">
        <v>1</v>
      </c>
      <c r="AA130" t="s">
        <v>40</v>
      </c>
      <c r="AB130">
        <v>0</v>
      </c>
      <c r="AC130">
        <v>1</v>
      </c>
      <c r="AD130" t="s">
        <v>40</v>
      </c>
      <c r="AE130">
        <v>0</v>
      </c>
      <c r="AF130">
        <v>1</v>
      </c>
      <c r="AG130" t="s">
        <v>40</v>
      </c>
      <c r="AH130">
        <v>0</v>
      </c>
      <c r="AI130">
        <v>1</v>
      </c>
      <c r="AJ130">
        <v>0</v>
      </c>
      <c r="AK130" t="s">
        <v>40</v>
      </c>
      <c r="AL130">
        <v>0</v>
      </c>
      <c r="AM130">
        <v>1</v>
      </c>
      <c r="AN130" t="s">
        <v>98</v>
      </c>
      <c r="AO130" s="6">
        <f>N130</f>
        <v>1</v>
      </c>
      <c r="AP130" s="6">
        <f>O130</f>
        <v>3</v>
      </c>
      <c r="AQ130" t="s">
        <v>106</v>
      </c>
      <c r="AR130" s="6" t="str">
        <f>$O$9</f>
        <v>BXX</v>
      </c>
      <c r="AS130" t="s">
        <v>1</v>
      </c>
      <c r="AT130" s="6" t="str">
        <f>$A$5&amp;".AI_VI"</f>
        <v>BXX_DEV1_SI1.AI_VI</v>
      </c>
      <c r="AU130" t="s">
        <v>1</v>
      </c>
      <c r="AV130" s="6" t="str">
        <f t="shared" si="30"/>
        <v>Sample Motor Speed Number of Visible Eng Values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</row>
    <row r="131" spans="1:64" x14ac:dyDescent="0.25">
      <c r="A131" s="3" t="str">
        <f>$A$5&amp;"_"&amp;"AI_DC"</f>
        <v>BXX_DEV1_SI1_AI_DC</v>
      </c>
      <c r="B131" s="6" t="str">
        <f t="shared" ref="B131:B133" si="31">$A$5</f>
        <v>BXX_DEV1_SI1</v>
      </c>
      <c r="C131" s="6" t="str">
        <f>$C$5 &amp; " Precision"</f>
        <v>Sample Motor Speed Precision</v>
      </c>
      <c r="D131" s="4">
        <f t="shared" si="29"/>
        <v>28</v>
      </c>
      <c r="E131" t="s">
        <v>1</v>
      </c>
      <c r="F131" t="s">
        <v>0</v>
      </c>
      <c r="G131" s="2">
        <v>700</v>
      </c>
      <c r="H131" t="s">
        <v>0</v>
      </c>
      <c r="I131" t="s">
        <v>1</v>
      </c>
      <c r="J131">
        <v>0</v>
      </c>
      <c r="K131">
        <v>0</v>
      </c>
      <c r="M131" s="6">
        <f t="shared" ref="M131:M133" si="32">N131</f>
        <v>0</v>
      </c>
      <c r="N131">
        <v>0</v>
      </c>
      <c r="O131">
        <v>3</v>
      </c>
      <c r="P131">
        <v>0</v>
      </c>
      <c r="Q131">
        <v>0</v>
      </c>
      <c r="R131" t="s">
        <v>40</v>
      </c>
      <c r="S131">
        <v>0</v>
      </c>
      <c r="T131">
        <v>1</v>
      </c>
      <c r="U131" t="s">
        <v>40</v>
      </c>
      <c r="V131">
        <v>0</v>
      </c>
      <c r="W131">
        <v>1</v>
      </c>
      <c r="X131" t="s">
        <v>40</v>
      </c>
      <c r="Y131">
        <v>0</v>
      </c>
      <c r="Z131">
        <v>1</v>
      </c>
      <c r="AA131" t="s">
        <v>40</v>
      </c>
      <c r="AB131">
        <v>0</v>
      </c>
      <c r="AC131">
        <v>1</v>
      </c>
      <c r="AD131" t="s">
        <v>40</v>
      </c>
      <c r="AE131">
        <v>0</v>
      </c>
      <c r="AF131">
        <v>1</v>
      </c>
      <c r="AG131" t="s">
        <v>40</v>
      </c>
      <c r="AH131">
        <v>0</v>
      </c>
      <c r="AI131">
        <v>1</v>
      </c>
      <c r="AJ131">
        <v>0</v>
      </c>
      <c r="AK131" t="s">
        <v>40</v>
      </c>
      <c r="AL131">
        <v>0</v>
      </c>
      <c r="AM131">
        <v>1</v>
      </c>
      <c r="AN131" t="s">
        <v>98</v>
      </c>
      <c r="AO131" s="6">
        <f t="shared" ref="AO131:AP133" si="33">N131</f>
        <v>0</v>
      </c>
      <c r="AP131" s="6">
        <f t="shared" si="33"/>
        <v>3</v>
      </c>
      <c r="AQ131" t="s">
        <v>106</v>
      </c>
      <c r="AR131" s="6" t="str">
        <f t="shared" ref="AR131:AR137" si="34">$O$9</f>
        <v>BXX</v>
      </c>
      <c r="AS131" t="s">
        <v>1</v>
      </c>
      <c r="AT131" s="6" t="str">
        <f>$A$5&amp;".AI_DC"</f>
        <v>BXX_DEV1_SI1.AI_DC</v>
      </c>
      <c r="AU131" t="s">
        <v>1</v>
      </c>
      <c r="AV131" s="6" t="str">
        <f t="shared" si="30"/>
        <v>Sample Motor Speed Precision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</row>
    <row r="132" spans="1:64" x14ac:dyDescent="0.25">
      <c r="A132" s="3" t="str">
        <f>$A$5&amp;"_"&amp;"E2_DC"</f>
        <v>BXX_DEV1_SI1_E2_DC</v>
      </c>
      <c r="B132" s="6" t="str">
        <f t="shared" si="31"/>
        <v>BXX_DEV1_SI1</v>
      </c>
      <c r="C132" s="6" t="str">
        <f>$C$5 &amp; " Eng Value 2 Precision"</f>
        <v>Sample Motor Speed Eng Value 2 Precision</v>
      </c>
      <c r="D132" s="4">
        <f t="shared" si="29"/>
        <v>40</v>
      </c>
      <c r="E132" t="s">
        <v>1</v>
      </c>
      <c r="F132" t="s">
        <v>0</v>
      </c>
      <c r="G132" s="2">
        <v>700</v>
      </c>
      <c r="H132" t="s">
        <v>0</v>
      </c>
      <c r="I132" t="s">
        <v>1</v>
      </c>
      <c r="J132">
        <v>0</v>
      </c>
      <c r="K132">
        <v>0</v>
      </c>
      <c r="M132" s="6">
        <f t="shared" si="32"/>
        <v>0</v>
      </c>
      <c r="N132">
        <v>0</v>
      </c>
      <c r="O132">
        <v>3</v>
      </c>
      <c r="P132">
        <v>0</v>
      </c>
      <c r="Q132">
        <v>0</v>
      </c>
      <c r="R132" t="s">
        <v>40</v>
      </c>
      <c r="S132">
        <v>0</v>
      </c>
      <c r="T132">
        <v>1</v>
      </c>
      <c r="U132" t="s">
        <v>40</v>
      </c>
      <c r="V132">
        <v>0</v>
      </c>
      <c r="W132">
        <v>1</v>
      </c>
      <c r="X132" t="s">
        <v>40</v>
      </c>
      <c r="Y132">
        <v>0</v>
      </c>
      <c r="Z132">
        <v>1</v>
      </c>
      <c r="AA132" t="s">
        <v>40</v>
      </c>
      <c r="AB132">
        <v>0</v>
      </c>
      <c r="AC132">
        <v>1</v>
      </c>
      <c r="AD132" t="s">
        <v>40</v>
      </c>
      <c r="AE132">
        <v>0</v>
      </c>
      <c r="AF132">
        <v>1</v>
      </c>
      <c r="AG132" t="s">
        <v>40</v>
      </c>
      <c r="AH132">
        <v>0</v>
      </c>
      <c r="AI132">
        <v>1</v>
      </c>
      <c r="AJ132">
        <v>0</v>
      </c>
      <c r="AK132" t="s">
        <v>40</v>
      </c>
      <c r="AL132">
        <v>0</v>
      </c>
      <c r="AM132">
        <v>1</v>
      </c>
      <c r="AN132" t="s">
        <v>98</v>
      </c>
      <c r="AO132" s="6">
        <f t="shared" si="33"/>
        <v>0</v>
      </c>
      <c r="AP132" s="6">
        <f t="shared" si="33"/>
        <v>3</v>
      </c>
      <c r="AQ132" t="s">
        <v>106</v>
      </c>
      <c r="AR132" s="6" t="str">
        <f t="shared" si="34"/>
        <v>BXX</v>
      </c>
      <c r="AS132" t="s">
        <v>1</v>
      </c>
      <c r="AT132" s="6" t="str">
        <f>$A$5&amp;".E2_DC"</f>
        <v>BXX_DEV1_SI1.E2_DC</v>
      </c>
      <c r="AU132" t="s">
        <v>1</v>
      </c>
      <c r="AV132" s="6" t="str">
        <f t="shared" si="30"/>
        <v>Sample Motor Speed Eng Value 2 Precision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</row>
    <row r="133" spans="1:64" x14ac:dyDescent="0.25">
      <c r="A133" s="3" t="str">
        <f>$A$5&amp;"_"&amp;"E3_DC"</f>
        <v>BXX_DEV1_SI1_E3_DC</v>
      </c>
      <c r="B133" s="6" t="str">
        <f t="shared" si="31"/>
        <v>BXX_DEV1_SI1</v>
      </c>
      <c r="C133" s="6" t="str">
        <f>$C$5 &amp; " Eng Value 3 Precision"</f>
        <v>Sample Motor Speed Eng Value 3 Precision</v>
      </c>
      <c r="D133" s="4">
        <f t="shared" si="29"/>
        <v>40</v>
      </c>
      <c r="E133" t="s">
        <v>1</v>
      </c>
      <c r="F133" t="s">
        <v>0</v>
      </c>
      <c r="G133" s="2">
        <v>700</v>
      </c>
      <c r="H133" t="s">
        <v>0</v>
      </c>
      <c r="I133" t="s">
        <v>1</v>
      </c>
      <c r="J133">
        <v>0</v>
      </c>
      <c r="K133">
        <v>0</v>
      </c>
      <c r="M133" s="6">
        <f t="shared" si="32"/>
        <v>0</v>
      </c>
      <c r="N133">
        <v>0</v>
      </c>
      <c r="O133">
        <v>3</v>
      </c>
      <c r="P133">
        <v>0</v>
      </c>
      <c r="Q133">
        <v>0</v>
      </c>
      <c r="R133" t="s">
        <v>40</v>
      </c>
      <c r="S133">
        <v>0</v>
      </c>
      <c r="T133">
        <v>1</v>
      </c>
      <c r="U133" t="s">
        <v>40</v>
      </c>
      <c r="V133">
        <v>0</v>
      </c>
      <c r="W133">
        <v>1</v>
      </c>
      <c r="X133" t="s">
        <v>40</v>
      </c>
      <c r="Y133">
        <v>0</v>
      </c>
      <c r="Z133">
        <v>1</v>
      </c>
      <c r="AA133" t="s">
        <v>40</v>
      </c>
      <c r="AB133">
        <v>0</v>
      </c>
      <c r="AC133">
        <v>1</v>
      </c>
      <c r="AD133" t="s">
        <v>40</v>
      </c>
      <c r="AE133">
        <v>0</v>
      </c>
      <c r="AF133">
        <v>1</v>
      </c>
      <c r="AG133" t="s">
        <v>40</v>
      </c>
      <c r="AH133">
        <v>0</v>
      </c>
      <c r="AI133">
        <v>1</v>
      </c>
      <c r="AJ133">
        <v>0</v>
      </c>
      <c r="AK133" t="s">
        <v>40</v>
      </c>
      <c r="AL133">
        <v>0</v>
      </c>
      <c r="AM133">
        <v>1</v>
      </c>
      <c r="AN133" t="s">
        <v>98</v>
      </c>
      <c r="AO133" s="6">
        <f t="shared" si="33"/>
        <v>0</v>
      </c>
      <c r="AP133" s="6">
        <f t="shared" si="33"/>
        <v>3</v>
      </c>
      <c r="AQ133" t="s">
        <v>106</v>
      </c>
      <c r="AR133" s="6" t="str">
        <f t="shared" si="34"/>
        <v>BXX</v>
      </c>
      <c r="AS133" t="s">
        <v>1</v>
      </c>
      <c r="AT133" s="6" t="str">
        <f>$A$5&amp;".E3_DC"</f>
        <v>BXX_DEV1_SI1.E3_DC</v>
      </c>
      <c r="AU133" t="s">
        <v>1</v>
      </c>
      <c r="AV133" s="6" t="str">
        <f t="shared" si="30"/>
        <v>Sample Motor Speed Eng Value 3 Precision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</row>
    <row r="134" spans="1:64" x14ac:dyDescent="0.25">
      <c r="A134" s="3" t="str">
        <f>$A$6&amp;"_"&amp;"AI_VI"</f>
        <v>BXX_DEV1_SK1_AI_VI</v>
      </c>
      <c r="B134" s="6" t="str">
        <f>$A$6</f>
        <v>BXX_DEV1_SK1</v>
      </c>
      <c r="C134" s="6" t="str">
        <f>$C$6 &amp; " Number of Visible Eng Values"</f>
        <v>Sample Motor Stroke Number of Visible Eng Values</v>
      </c>
      <c r="D134" s="4">
        <f t="shared" si="29"/>
        <v>48</v>
      </c>
      <c r="E134" t="s">
        <v>1</v>
      </c>
      <c r="F134" t="s">
        <v>0</v>
      </c>
      <c r="G134" s="2">
        <v>700</v>
      </c>
      <c r="H134" t="s">
        <v>0</v>
      </c>
      <c r="I134" t="s">
        <v>1</v>
      </c>
      <c r="J134">
        <v>0</v>
      </c>
      <c r="K134">
        <v>0</v>
      </c>
      <c r="M134" s="6">
        <f>N134</f>
        <v>1</v>
      </c>
      <c r="N134">
        <v>1</v>
      </c>
      <c r="O134">
        <v>3</v>
      </c>
      <c r="P134">
        <v>0</v>
      </c>
      <c r="Q134">
        <v>0</v>
      </c>
      <c r="R134" t="s">
        <v>40</v>
      </c>
      <c r="S134">
        <v>0</v>
      </c>
      <c r="T134">
        <v>1</v>
      </c>
      <c r="U134" t="s">
        <v>40</v>
      </c>
      <c r="V134">
        <v>0</v>
      </c>
      <c r="W134">
        <v>1</v>
      </c>
      <c r="X134" t="s">
        <v>40</v>
      </c>
      <c r="Y134">
        <v>0</v>
      </c>
      <c r="Z134">
        <v>1</v>
      </c>
      <c r="AA134" t="s">
        <v>40</v>
      </c>
      <c r="AB134">
        <v>0</v>
      </c>
      <c r="AC134">
        <v>1</v>
      </c>
      <c r="AD134" t="s">
        <v>40</v>
      </c>
      <c r="AE134">
        <v>0</v>
      </c>
      <c r="AF134">
        <v>1</v>
      </c>
      <c r="AG134" t="s">
        <v>40</v>
      </c>
      <c r="AH134">
        <v>0</v>
      </c>
      <c r="AI134">
        <v>1</v>
      </c>
      <c r="AJ134">
        <v>0</v>
      </c>
      <c r="AK134" t="s">
        <v>40</v>
      </c>
      <c r="AL134">
        <v>0</v>
      </c>
      <c r="AM134">
        <v>1</v>
      </c>
      <c r="AN134" t="s">
        <v>98</v>
      </c>
      <c r="AO134" s="6">
        <f>N134</f>
        <v>1</v>
      </c>
      <c r="AP134" s="6">
        <f>O134</f>
        <v>3</v>
      </c>
      <c r="AQ134" t="s">
        <v>106</v>
      </c>
      <c r="AR134" s="6" t="str">
        <f>$O$9</f>
        <v>BXX</v>
      </c>
      <c r="AS134" t="s">
        <v>1</v>
      </c>
      <c r="AT134" s="6" t="str">
        <f>$A$6&amp;".AI_VI"</f>
        <v>BXX_DEV1_SK1.AI_VI</v>
      </c>
      <c r="AU134" t="s">
        <v>1</v>
      </c>
      <c r="AV134" s="6" t="str">
        <f t="shared" si="30"/>
        <v>Sample Motor Stroke Number of Visible Eng Values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</row>
    <row r="135" spans="1:64" x14ac:dyDescent="0.25">
      <c r="A135" s="3" t="str">
        <f>$A$6&amp;"_"&amp;"AI_DC"</f>
        <v>BXX_DEV1_SK1_AI_DC</v>
      </c>
      <c r="B135" s="6" t="str">
        <f t="shared" ref="B135:B137" si="35">$A$6</f>
        <v>BXX_DEV1_SK1</v>
      </c>
      <c r="C135" s="6" t="str">
        <f>$C$6 &amp; " Precision"</f>
        <v>Sample Motor Stroke Precision</v>
      </c>
      <c r="D135" s="4">
        <f t="shared" si="29"/>
        <v>29</v>
      </c>
      <c r="E135" t="s">
        <v>1</v>
      </c>
      <c r="F135" t="s">
        <v>0</v>
      </c>
      <c r="G135" s="2">
        <v>700</v>
      </c>
      <c r="H135" t="s">
        <v>0</v>
      </c>
      <c r="I135" t="s">
        <v>1</v>
      </c>
      <c r="J135">
        <v>0</v>
      </c>
      <c r="K135">
        <v>0</v>
      </c>
      <c r="M135" s="6">
        <f t="shared" ref="M135:M137" si="36">N135</f>
        <v>0</v>
      </c>
      <c r="N135">
        <v>0</v>
      </c>
      <c r="O135">
        <v>3</v>
      </c>
      <c r="P135">
        <v>0</v>
      </c>
      <c r="Q135">
        <v>0</v>
      </c>
      <c r="R135" t="s">
        <v>40</v>
      </c>
      <c r="S135">
        <v>0</v>
      </c>
      <c r="T135">
        <v>1</v>
      </c>
      <c r="U135" t="s">
        <v>40</v>
      </c>
      <c r="V135">
        <v>0</v>
      </c>
      <c r="W135">
        <v>1</v>
      </c>
      <c r="X135" t="s">
        <v>40</v>
      </c>
      <c r="Y135">
        <v>0</v>
      </c>
      <c r="Z135">
        <v>1</v>
      </c>
      <c r="AA135" t="s">
        <v>40</v>
      </c>
      <c r="AB135">
        <v>0</v>
      </c>
      <c r="AC135">
        <v>1</v>
      </c>
      <c r="AD135" t="s">
        <v>40</v>
      </c>
      <c r="AE135">
        <v>0</v>
      </c>
      <c r="AF135">
        <v>1</v>
      </c>
      <c r="AG135" t="s">
        <v>40</v>
      </c>
      <c r="AH135">
        <v>0</v>
      </c>
      <c r="AI135">
        <v>1</v>
      </c>
      <c r="AJ135">
        <v>0</v>
      </c>
      <c r="AK135" t="s">
        <v>40</v>
      </c>
      <c r="AL135">
        <v>0</v>
      </c>
      <c r="AM135">
        <v>1</v>
      </c>
      <c r="AN135" t="s">
        <v>98</v>
      </c>
      <c r="AO135" s="6">
        <f t="shared" ref="AO135:AO137" si="37">N135</f>
        <v>0</v>
      </c>
      <c r="AP135" s="6">
        <f t="shared" ref="AP135:AP137" si="38">O135</f>
        <v>3</v>
      </c>
      <c r="AQ135" t="s">
        <v>106</v>
      </c>
      <c r="AR135" s="6" t="str">
        <f t="shared" si="34"/>
        <v>BXX</v>
      </c>
      <c r="AS135" t="s">
        <v>1</v>
      </c>
      <c r="AT135" s="6" t="str">
        <f>$A$6&amp;".AI_DC"</f>
        <v>BXX_DEV1_SK1.AI_DC</v>
      </c>
      <c r="AU135" t="s">
        <v>1</v>
      </c>
      <c r="AV135" s="6" t="str">
        <f t="shared" si="30"/>
        <v>Sample Motor Stroke Precision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</row>
    <row r="136" spans="1:64" x14ac:dyDescent="0.25">
      <c r="A136" s="3" t="str">
        <f>$A$6&amp;"_"&amp;"E2_DC"</f>
        <v>BXX_DEV1_SK1_E2_DC</v>
      </c>
      <c r="B136" s="6" t="str">
        <f t="shared" si="35"/>
        <v>BXX_DEV1_SK1</v>
      </c>
      <c r="C136" s="6" t="str">
        <f>$C$6 &amp; " Eng Value 2 Precision"</f>
        <v>Sample Motor Stroke Eng Value 2 Precision</v>
      </c>
      <c r="D136" s="4">
        <f t="shared" si="29"/>
        <v>41</v>
      </c>
      <c r="E136" t="s">
        <v>1</v>
      </c>
      <c r="F136" t="s">
        <v>0</v>
      </c>
      <c r="G136" s="2">
        <v>700</v>
      </c>
      <c r="H136" t="s">
        <v>0</v>
      </c>
      <c r="I136" t="s">
        <v>1</v>
      </c>
      <c r="J136">
        <v>0</v>
      </c>
      <c r="K136">
        <v>0</v>
      </c>
      <c r="M136" s="6">
        <f t="shared" si="36"/>
        <v>0</v>
      </c>
      <c r="N136">
        <v>0</v>
      </c>
      <c r="O136">
        <v>3</v>
      </c>
      <c r="P136">
        <v>0</v>
      </c>
      <c r="Q136">
        <v>0</v>
      </c>
      <c r="R136" t="s">
        <v>40</v>
      </c>
      <c r="S136">
        <v>0</v>
      </c>
      <c r="T136">
        <v>1</v>
      </c>
      <c r="U136" t="s">
        <v>40</v>
      </c>
      <c r="V136">
        <v>0</v>
      </c>
      <c r="W136">
        <v>1</v>
      </c>
      <c r="X136" t="s">
        <v>40</v>
      </c>
      <c r="Y136">
        <v>0</v>
      </c>
      <c r="Z136">
        <v>1</v>
      </c>
      <c r="AA136" t="s">
        <v>40</v>
      </c>
      <c r="AB136">
        <v>0</v>
      </c>
      <c r="AC136">
        <v>1</v>
      </c>
      <c r="AD136" t="s">
        <v>40</v>
      </c>
      <c r="AE136">
        <v>0</v>
      </c>
      <c r="AF136">
        <v>1</v>
      </c>
      <c r="AG136" t="s">
        <v>40</v>
      </c>
      <c r="AH136">
        <v>0</v>
      </c>
      <c r="AI136">
        <v>1</v>
      </c>
      <c r="AJ136">
        <v>0</v>
      </c>
      <c r="AK136" t="s">
        <v>40</v>
      </c>
      <c r="AL136">
        <v>0</v>
      </c>
      <c r="AM136">
        <v>1</v>
      </c>
      <c r="AN136" t="s">
        <v>98</v>
      </c>
      <c r="AO136" s="6">
        <f t="shared" si="37"/>
        <v>0</v>
      </c>
      <c r="AP136" s="6">
        <f t="shared" si="38"/>
        <v>3</v>
      </c>
      <c r="AQ136" t="s">
        <v>106</v>
      </c>
      <c r="AR136" s="6" t="str">
        <f t="shared" si="34"/>
        <v>BXX</v>
      </c>
      <c r="AS136" t="s">
        <v>1</v>
      </c>
      <c r="AT136" s="6" t="str">
        <f>$A$6&amp;".E2_DC"</f>
        <v>BXX_DEV1_SK1.E2_DC</v>
      </c>
      <c r="AU136" t="s">
        <v>1</v>
      </c>
      <c r="AV136" s="6" t="str">
        <f t="shared" si="30"/>
        <v>Sample Motor Stroke Eng Value 2 Precision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</row>
    <row r="137" spans="1:64" x14ac:dyDescent="0.25">
      <c r="A137" s="3" t="str">
        <f>$A$6&amp;"_"&amp;"E3_DC"</f>
        <v>BXX_DEV1_SK1_E3_DC</v>
      </c>
      <c r="B137" s="6" t="str">
        <f t="shared" si="35"/>
        <v>BXX_DEV1_SK1</v>
      </c>
      <c r="C137" s="6" t="str">
        <f>$C$6 &amp; " Eng Value 3 Precision"</f>
        <v>Sample Motor Stroke Eng Value 3 Precision</v>
      </c>
      <c r="D137" s="4">
        <f t="shared" si="29"/>
        <v>41</v>
      </c>
      <c r="E137" t="s">
        <v>1</v>
      </c>
      <c r="F137" t="s">
        <v>0</v>
      </c>
      <c r="G137" s="2">
        <v>700</v>
      </c>
      <c r="H137" t="s">
        <v>0</v>
      </c>
      <c r="I137" t="s">
        <v>1</v>
      </c>
      <c r="J137">
        <v>0</v>
      </c>
      <c r="K137">
        <v>0</v>
      </c>
      <c r="M137" s="6">
        <f t="shared" si="36"/>
        <v>0</v>
      </c>
      <c r="N137">
        <v>0</v>
      </c>
      <c r="O137">
        <v>3</v>
      </c>
      <c r="P137">
        <v>0</v>
      </c>
      <c r="Q137">
        <v>0</v>
      </c>
      <c r="R137" t="s">
        <v>40</v>
      </c>
      <c r="S137">
        <v>0</v>
      </c>
      <c r="T137">
        <v>1</v>
      </c>
      <c r="U137" t="s">
        <v>40</v>
      </c>
      <c r="V137">
        <v>0</v>
      </c>
      <c r="W137">
        <v>1</v>
      </c>
      <c r="X137" t="s">
        <v>40</v>
      </c>
      <c r="Y137">
        <v>0</v>
      </c>
      <c r="Z137">
        <v>1</v>
      </c>
      <c r="AA137" t="s">
        <v>40</v>
      </c>
      <c r="AB137">
        <v>0</v>
      </c>
      <c r="AC137">
        <v>1</v>
      </c>
      <c r="AD137" t="s">
        <v>40</v>
      </c>
      <c r="AE137">
        <v>0</v>
      </c>
      <c r="AF137">
        <v>1</v>
      </c>
      <c r="AG137" t="s">
        <v>40</v>
      </c>
      <c r="AH137">
        <v>0</v>
      </c>
      <c r="AI137">
        <v>1</v>
      </c>
      <c r="AJ137">
        <v>0</v>
      </c>
      <c r="AK137" t="s">
        <v>40</v>
      </c>
      <c r="AL137">
        <v>0</v>
      </c>
      <c r="AM137">
        <v>1</v>
      </c>
      <c r="AN137" t="s">
        <v>98</v>
      </c>
      <c r="AO137" s="6">
        <f t="shared" si="37"/>
        <v>0</v>
      </c>
      <c r="AP137" s="6">
        <f t="shared" si="38"/>
        <v>3</v>
      </c>
      <c r="AQ137" t="s">
        <v>106</v>
      </c>
      <c r="AR137" s="6" t="str">
        <f t="shared" si="34"/>
        <v>BXX</v>
      </c>
      <c r="AS137" t="s">
        <v>1</v>
      </c>
      <c r="AT137" s="6" t="str">
        <f>$A$6&amp;".E3_DC"</f>
        <v>BXX_DEV1_SK1.E3_DC</v>
      </c>
      <c r="AU137" t="s">
        <v>1</v>
      </c>
      <c r="AV137" s="6" t="str">
        <f t="shared" si="30"/>
        <v>Sample Motor Stroke Eng Value 3 Precision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</row>
    <row r="138" spans="1:64" x14ac:dyDescent="0.25">
      <c r="A138" s="1" t="s">
        <v>107</v>
      </c>
      <c r="B138" t="s">
        <v>4</v>
      </c>
      <c r="C138" t="s">
        <v>5</v>
      </c>
      <c r="D138" s="4">
        <f t="shared" si="29"/>
        <v>7</v>
      </c>
      <c r="E138" t="s">
        <v>30</v>
      </c>
      <c r="F138" t="s">
        <v>6</v>
      </c>
      <c r="G138" t="s">
        <v>7</v>
      </c>
      <c r="H138" t="s">
        <v>31</v>
      </c>
      <c r="I138" t="s">
        <v>66</v>
      </c>
      <c r="J138" t="s">
        <v>67</v>
      </c>
      <c r="K138" t="s">
        <v>68</v>
      </c>
      <c r="L138" t="s">
        <v>69</v>
      </c>
      <c r="M138" t="s">
        <v>70</v>
      </c>
      <c r="N138" t="s">
        <v>101</v>
      </c>
      <c r="O138" t="s">
        <v>102</v>
      </c>
      <c r="P138" t="s">
        <v>73</v>
      </c>
      <c r="Q138" t="s">
        <v>74</v>
      </c>
      <c r="R138" t="s">
        <v>75</v>
      </c>
      <c r="S138" t="s">
        <v>76</v>
      </c>
      <c r="T138" t="s">
        <v>77</v>
      </c>
      <c r="U138" t="s">
        <v>78</v>
      </c>
      <c r="V138" t="s">
        <v>79</v>
      </c>
      <c r="W138" t="s">
        <v>80</v>
      </c>
      <c r="X138" t="s">
        <v>81</v>
      </c>
      <c r="Y138" t="s">
        <v>82</v>
      </c>
      <c r="Z138" t="s">
        <v>83</v>
      </c>
      <c r="AA138" t="s">
        <v>84</v>
      </c>
      <c r="AB138" t="s">
        <v>85</v>
      </c>
      <c r="AC138" t="s">
        <v>86</v>
      </c>
      <c r="AD138" t="s">
        <v>87</v>
      </c>
      <c r="AE138" t="s">
        <v>88</v>
      </c>
      <c r="AF138" t="s">
        <v>89</v>
      </c>
      <c r="AG138" t="s">
        <v>90</v>
      </c>
      <c r="AH138" t="s">
        <v>91</v>
      </c>
      <c r="AI138" t="s">
        <v>92</v>
      </c>
      <c r="AJ138" t="s">
        <v>93</v>
      </c>
      <c r="AK138" t="s">
        <v>94</v>
      </c>
      <c r="AL138" t="s">
        <v>95</v>
      </c>
      <c r="AM138" t="s">
        <v>96</v>
      </c>
      <c r="AN138" t="s">
        <v>97</v>
      </c>
      <c r="AO138" t="s">
        <v>103</v>
      </c>
      <c r="AP138" t="s">
        <v>104</v>
      </c>
      <c r="AQ138" t="s">
        <v>105</v>
      </c>
      <c r="AR138" t="s">
        <v>45</v>
      </c>
      <c r="AS138" t="s">
        <v>46</v>
      </c>
      <c r="AT138" t="s">
        <v>47</v>
      </c>
      <c r="AU138" t="s">
        <v>48</v>
      </c>
      <c r="AV138" t="s">
        <v>37</v>
      </c>
      <c r="AW138" t="s">
        <v>38</v>
      </c>
      <c r="AX138" t="s">
        <v>8</v>
      </c>
      <c r="AY138" t="s">
        <v>9</v>
      </c>
      <c r="AZ138" t="s">
        <v>10</v>
      </c>
      <c r="BA138" t="s">
        <v>11</v>
      </c>
      <c r="BB138" t="s">
        <v>12</v>
      </c>
      <c r="BC138" t="s">
        <v>13</v>
      </c>
      <c r="BD138" t="s">
        <v>14</v>
      </c>
      <c r="BE138" t="s">
        <v>16</v>
      </c>
      <c r="BF138" t="s">
        <v>17</v>
      </c>
      <c r="BG138" t="s">
        <v>18</v>
      </c>
      <c r="BH138" t="s">
        <v>19</v>
      </c>
      <c r="BI138" t="s">
        <v>20</v>
      </c>
      <c r="BJ138" t="s">
        <v>21</v>
      </c>
      <c r="BK138" t="s">
        <v>22</v>
      </c>
      <c r="BL138" t="s">
        <v>39</v>
      </c>
    </row>
    <row r="139" spans="1:64" x14ac:dyDescent="0.25">
      <c r="A139" s="6" t="str">
        <f>$A$3&amp;"_"&amp;"AI_RT"</f>
        <v>BXX_DEV1_DM1_AI_RT</v>
      </c>
      <c r="B139" s="6" t="str">
        <f>$A$3</f>
        <v>BXX_DEV1_DM1</v>
      </c>
      <c r="C139" s="6" t="str">
        <f>$C$3&amp;" Runtime (Hours)"</f>
        <v>Sample Motor Runtime (Hours)</v>
      </c>
      <c r="D139" s="4">
        <f t="shared" si="29"/>
        <v>28</v>
      </c>
      <c r="E139" t="s">
        <v>0</v>
      </c>
      <c r="F139" t="s">
        <v>1</v>
      </c>
      <c r="G139">
        <v>0</v>
      </c>
      <c r="H139" t="s">
        <v>0</v>
      </c>
      <c r="I139" t="s">
        <v>1</v>
      </c>
      <c r="J139">
        <v>0</v>
      </c>
      <c r="K139">
        <v>0</v>
      </c>
      <c r="L139" t="s">
        <v>111</v>
      </c>
      <c r="M139">
        <v>0</v>
      </c>
      <c r="N139">
        <v>0</v>
      </c>
      <c r="O139">
        <v>1000000</v>
      </c>
      <c r="P139">
        <v>0</v>
      </c>
      <c r="Q139">
        <v>1</v>
      </c>
      <c r="R139" t="s">
        <v>40</v>
      </c>
      <c r="S139">
        <v>0</v>
      </c>
      <c r="T139">
        <v>1</v>
      </c>
      <c r="U139" t="s">
        <v>40</v>
      </c>
      <c r="V139">
        <v>0</v>
      </c>
      <c r="W139">
        <v>1</v>
      </c>
      <c r="X139" t="s">
        <v>40</v>
      </c>
      <c r="Y139">
        <v>0</v>
      </c>
      <c r="Z139">
        <v>1</v>
      </c>
      <c r="AA139" t="s">
        <v>40</v>
      </c>
      <c r="AB139">
        <v>0</v>
      </c>
      <c r="AC139">
        <v>1</v>
      </c>
      <c r="AD139" t="s">
        <v>40</v>
      </c>
      <c r="AE139">
        <v>0</v>
      </c>
      <c r="AF139">
        <v>1</v>
      </c>
      <c r="AG139" t="s">
        <v>40</v>
      </c>
      <c r="AH139">
        <v>0</v>
      </c>
      <c r="AI139">
        <v>1</v>
      </c>
      <c r="AJ139">
        <v>0</v>
      </c>
      <c r="AK139" t="s">
        <v>40</v>
      </c>
      <c r="AL139">
        <v>0</v>
      </c>
      <c r="AM139">
        <v>1</v>
      </c>
      <c r="AN139" t="s">
        <v>98</v>
      </c>
      <c r="AO139">
        <v>0</v>
      </c>
      <c r="AP139">
        <v>1000000</v>
      </c>
      <c r="AQ139" t="s">
        <v>106</v>
      </c>
      <c r="AR139" s="6" t="str">
        <f>$O$9</f>
        <v>BXX</v>
      </c>
      <c r="AS139" t="s">
        <v>1</v>
      </c>
      <c r="AT139" s="6" t="str">
        <f>$A$3&amp;".AI_RT"</f>
        <v>BXX_DEV1_DM1.AI_RT</v>
      </c>
      <c r="AU139" t="s">
        <v>1</v>
      </c>
      <c r="AV139" s="6" t="str">
        <f t="shared" ref="AV139:AV155" si="39">C139</f>
        <v>Sample Motor Runtime (Hours)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</row>
    <row r="140" spans="1:64" x14ac:dyDescent="0.25">
      <c r="A140" s="3" t="str">
        <f>$A$3&amp;"_"&amp;"SI_CT"</f>
        <v>BXX_DEV1_DM1_SI_CT</v>
      </c>
      <c r="B140" s="6" t="str">
        <f>$A$3</f>
        <v>BXX_DEV1_DM1</v>
      </c>
      <c r="C140" s="6" t="str">
        <f>$C$3&amp;" Manual Speed Setpoint"</f>
        <v>Sample Motor Manual Speed Setpoint</v>
      </c>
      <c r="D140" s="4">
        <f t="shared" si="29"/>
        <v>34</v>
      </c>
      <c r="E140" t="s">
        <v>1</v>
      </c>
      <c r="F140" t="s">
        <v>0</v>
      </c>
      <c r="G140" s="2">
        <v>900</v>
      </c>
      <c r="H140" t="s">
        <v>0</v>
      </c>
      <c r="I140" t="s">
        <v>1</v>
      </c>
      <c r="J140">
        <v>0</v>
      </c>
      <c r="K140">
        <v>0</v>
      </c>
      <c r="L140" s="2" t="s">
        <v>99</v>
      </c>
      <c r="M140" s="6">
        <f>N140</f>
        <v>0</v>
      </c>
      <c r="N140" s="2">
        <v>0</v>
      </c>
      <c r="O140" s="2">
        <v>100</v>
      </c>
      <c r="P140">
        <v>0</v>
      </c>
      <c r="Q140">
        <v>0</v>
      </c>
      <c r="R140" t="s">
        <v>40</v>
      </c>
      <c r="S140">
        <v>0</v>
      </c>
      <c r="T140">
        <v>1</v>
      </c>
      <c r="U140" t="s">
        <v>40</v>
      </c>
      <c r="V140">
        <v>0</v>
      </c>
      <c r="W140">
        <v>1</v>
      </c>
      <c r="X140" t="s">
        <v>40</v>
      </c>
      <c r="Y140">
        <v>0</v>
      </c>
      <c r="Z140">
        <v>1</v>
      </c>
      <c r="AA140" t="s">
        <v>40</v>
      </c>
      <c r="AB140">
        <v>0</v>
      </c>
      <c r="AC140">
        <v>1</v>
      </c>
      <c r="AD140" t="s">
        <v>40</v>
      </c>
      <c r="AE140">
        <v>0</v>
      </c>
      <c r="AF140">
        <v>1</v>
      </c>
      <c r="AG140" t="s">
        <v>40</v>
      </c>
      <c r="AH140">
        <v>0</v>
      </c>
      <c r="AI140">
        <v>1</v>
      </c>
      <c r="AJ140">
        <v>0</v>
      </c>
      <c r="AK140" t="s">
        <v>40</v>
      </c>
      <c r="AL140">
        <v>0</v>
      </c>
      <c r="AM140">
        <v>1</v>
      </c>
      <c r="AN140" t="s">
        <v>98</v>
      </c>
      <c r="AO140" s="6">
        <f t="shared" ref="AO140:AP143" si="40">N140</f>
        <v>0</v>
      </c>
      <c r="AP140" s="6">
        <f t="shared" si="40"/>
        <v>100</v>
      </c>
      <c r="AQ140" t="s">
        <v>106</v>
      </c>
      <c r="AR140" s="6" t="str">
        <f>$O$9</f>
        <v>BXX</v>
      </c>
      <c r="AS140" t="s">
        <v>1</v>
      </c>
      <c r="AT140" s="6" t="str">
        <f>$A$3&amp;".SI_CT"</f>
        <v>BXX_DEV1_DM1.SI_CT</v>
      </c>
      <c r="AU140" t="s">
        <v>1</v>
      </c>
      <c r="AV140" s="6" t="str">
        <f t="shared" si="39"/>
        <v>Sample Motor Manual Speed Setpoint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</row>
    <row r="141" spans="1:64" x14ac:dyDescent="0.25">
      <c r="A141" s="3" t="str">
        <f>$A$3&amp;"_"&amp;"SK_RT"</f>
        <v>BXX_DEV1_DM1_SK_RT</v>
      </c>
      <c r="B141" s="6" t="str">
        <f>$A$3</f>
        <v>BXX_DEV1_DM1</v>
      </c>
      <c r="C141" s="6" t="str">
        <f>$C$3&amp;" Manual Stroke Setpoint"</f>
        <v>Sample Motor Manual Stroke Setpoint</v>
      </c>
      <c r="D141" s="4">
        <f t="shared" si="29"/>
        <v>35</v>
      </c>
      <c r="E141" t="s">
        <v>1</v>
      </c>
      <c r="F141" t="s">
        <v>0</v>
      </c>
      <c r="G141" s="2">
        <v>900</v>
      </c>
      <c r="H141" t="s">
        <v>0</v>
      </c>
      <c r="I141" t="s">
        <v>1</v>
      </c>
      <c r="J141">
        <v>0</v>
      </c>
      <c r="K141">
        <v>0</v>
      </c>
      <c r="L141" s="2" t="s">
        <v>99</v>
      </c>
      <c r="M141" s="6">
        <f>N141</f>
        <v>0</v>
      </c>
      <c r="N141" s="2">
        <v>0</v>
      </c>
      <c r="O141" s="2">
        <v>100</v>
      </c>
      <c r="P141">
        <v>0</v>
      </c>
      <c r="Q141">
        <v>0</v>
      </c>
      <c r="R141" t="s">
        <v>40</v>
      </c>
      <c r="S141">
        <v>0</v>
      </c>
      <c r="T141">
        <v>1</v>
      </c>
      <c r="U141" t="s">
        <v>40</v>
      </c>
      <c r="V141">
        <v>0</v>
      </c>
      <c r="W141">
        <v>1</v>
      </c>
      <c r="X141" t="s">
        <v>40</v>
      </c>
      <c r="Y141">
        <v>0</v>
      </c>
      <c r="Z141">
        <v>1</v>
      </c>
      <c r="AA141" t="s">
        <v>40</v>
      </c>
      <c r="AB141">
        <v>0</v>
      </c>
      <c r="AC141">
        <v>1</v>
      </c>
      <c r="AD141" t="s">
        <v>40</v>
      </c>
      <c r="AE141">
        <v>0</v>
      </c>
      <c r="AF141">
        <v>1</v>
      </c>
      <c r="AG141" t="s">
        <v>40</v>
      </c>
      <c r="AH141">
        <v>0</v>
      </c>
      <c r="AI141">
        <v>1</v>
      </c>
      <c r="AJ141">
        <v>0</v>
      </c>
      <c r="AK141" t="s">
        <v>40</v>
      </c>
      <c r="AL141">
        <v>0</v>
      </c>
      <c r="AM141">
        <v>1</v>
      </c>
      <c r="AN141" t="s">
        <v>98</v>
      </c>
      <c r="AO141" s="6">
        <f t="shared" si="40"/>
        <v>0</v>
      </c>
      <c r="AP141" s="6">
        <f t="shared" si="40"/>
        <v>100</v>
      </c>
      <c r="AQ141" t="s">
        <v>106</v>
      </c>
      <c r="AR141" s="6" t="str">
        <f>$O$9</f>
        <v>BXX</v>
      </c>
      <c r="AS141" t="s">
        <v>1</v>
      </c>
      <c r="AT141" s="6" t="str">
        <f>$A$3&amp;".SK_CT"</f>
        <v>BXX_DEV1_DM1.SK_CT</v>
      </c>
      <c r="AU141" t="s">
        <v>1</v>
      </c>
      <c r="AV141" s="6" t="str">
        <f t="shared" si="39"/>
        <v>Sample Motor Manual Stroke Setpoint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</row>
    <row r="142" spans="1:64" x14ac:dyDescent="0.25">
      <c r="A142" s="3" t="str">
        <f>$A$3&amp;"_"&amp;"AO_CV"</f>
        <v>BXX_DEV1_DM1_AO_CV</v>
      </c>
      <c r="B142" s="6" t="str">
        <f>$A$3</f>
        <v>BXX_DEV1_DM1</v>
      </c>
      <c r="C142" s="6" t="str">
        <f>$C$3&amp;" Speed Command"</f>
        <v>Sample Motor Speed Command</v>
      </c>
      <c r="D142" s="4">
        <f t="shared" si="29"/>
        <v>26</v>
      </c>
      <c r="E142" t="s">
        <v>1</v>
      </c>
      <c r="F142" t="s">
        <v>1</v>
      </c>
      <c r="G142" s="220">
        <v>0</v>
      </c>
      <c r="H142" t="s">
        <v>0</v>
      </c>
      <c r="I142" t="s">
        <v>1</v>
      </c>
      <c r="J142">
        <v>0</v>
      </c>
      <c r="K142">
        <v>0</v>
      </c>
      <c r="L142" s="6" t="str">
        <f>L140</f>
        <v>%</v>
      </c>
      <c r="M142" s="6">
        <f>N142</f>
        <v>0</v>
      </c>
      <c r="N142" s="6">
        <f>N140</f>
        <v>0</v>
      </c>
      <c r="O142" s="6">
        <f>O140</f>
        <v>100</v>
      </c>
      <c r="P142">
        <v>0</v>
      </c>
      <c r="Q142" s="6">
        <f>(O142-N142)*0.01</f>
        <v>1</v>
      </c>
      <c r="R142" t="s">
        <v>40</v>
      </c>
      <c r="S142">
        <v>0</v>
      </c>
      <c r="T142">
        <v>1</v>
      </c>
      <c r="U142" t="s">
        <v>40</v>
      </c>
      <c r="V142">
        <v>0</v>
      </c>
      <c r="W142">
        <v>1</v>
      </c>
      <c r="X142" t="s">
        <v>40</v>
      </c>
      <c r="Y142">
        <v>0</v>
      </c>
      <c r="Z142">
        <v>1</v>
      </c>
      <c r="AA142" t="s">
        <v>40</v>
      </c>
      <c r="AB142">
        <v>0</v>
      </c>
      <c r="AC142">
        <v>1</v>
      </c>
      <c r="AD142" t="s">
        <v>40</v>
      </c>
      <c r="AE142">
        <v>0</v>
      </c>
      <c r="AF142">
        <v>1</v>
      </c>
      <c r="AG142" t="s">
        <v>40</v>
      </c>
      <c r="AH142">
        <v>0</v>
      </c>
      <c r="AI142">
        <v>1</v>
      </c>
      <c r="AJ142">
        <v>0</v>
      </c>
      <c r="AK142" t="s">
        <v>40</v>
      </c>
      <c r="AL142">
        <v>0</v>
      </c>
      <c r="AM142">
        <v>1</v>
      </c>
      <c r="AN142" t="s">
        <v>98</v>
      </c>
      <c r="AO142" s="6">
        <f t="shared" si="40"/>
        <v>0</v>
      </c>
      <c r="AP142" s="6">
        <f t="shared" si="40"/>
        <v>100</v>
      </c>
      <c r="AQ142" t="s">
        <v>106</v>
      </c>
      <c r="AR142" s="6" t="str">
        <f>$O$9</f>
        <v>BXX</v>
      </c>
      <c r="AS142" t="s">
        <v>1</v>
      </c>
      <c r="AT142" s="6" t="str">
        <f>$A$3&amp;".AO_CT"</f>
        <v>BXX_DEV1_DM1.AO_CT</v>
      </c>
      <c r="AU142" t="s">
        <v>1</v>
      </c>
      <c r="AV142" s="6" t="str">
        <f t="shared" si="39"/>
        <v>Sample Motor Speed Command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</row>
    <row r="143" spans="1:64" x14ac:dyDescent="0.25">
      <c r="A143" s="3" t="str">
        <f>$A$3&amp;"_"&amp;"AO_SK"</f>
        <v>BXX_DEV1_DM1_AO_SK</v>
      </c>
      <c r="B143" s="6" t="str">
        <f>$A$3</f>
        <v>BXX_DEV1_DM1</v>
      </c>
      <c r="C143" s="6" t="str">
        <f>$C$3&amp;" Stroke Command"</f>
        <v>Sample Motor Stroke Command</v>
      </c>
      <c r="D143" s="4">
        <f t="shared" si="29"/>
        <v>27</v>
      </c>
      <c r="E143" t="s">
        <v>1</v>
      </c>
      <c r="F143" t="s">
        <v>1</v>
      </c>
      <c r="G143" s="220">
        <v>0</v>
      </c>
      <c r="H143" t="s">
        <v>0</v>
      </c>
      <c r="I143" t="s">
        <v>1</v>
      </c>
      <c r="J143">
        <v>0</v>
      </c>
      <c r="K143">
        <v>0</v>
      </c>
      <c r="L143" s="6" t="str">
        <f>L141</f>
        <v>%</v>
      </c>
      <c r="M143" s="6">
        <f>N143</f>
        <v>0</v>
      </c>
      <c r="N143" s="6">
        <f>N141</f>
        <v>0</v>
      </c>
      <c r="O143" s="6">
        <f>O141</f>
        <v>100</v>
      </c>
      <c r="P143">
        <v>0</v>
      </c>
      <c r="Q143" s="6">
        <f>(O143-N143)*0.01</f>
        <v>1</v>
      </c>
      <c r="R143" t="s">
        <v>40</v>
      </c>
      <c r="S143">
        <v>0</v>
      </c>
      <c r="T143">
        <v>1</v>
      </c>
      <c r="U143" t="s">
        <v>40</v>
      </c>
      <c r="V143">
        <v>0</v>
      </c>
      <c r="W143">
        <v>1</v>
      </c>
      <c r="X143" t="s">
        <v>40</v>
      </c>
      <c r="Y143">
        <v>0</v>
      </c>
      <c r="Z143">
        <v>1</v>
      </c>
      <c r="AA143" t="s">
        <v>40</v>
      </c>
      <c r="AB143">
        <v>0</v>
      </c>
      <c r="AC143">
        <v>1</v>
      </c>
      <c r="AD143" t="s">
        <v>40</v>
      </c>
      <c r="AE143">
        <v>0</v>
      </c>
      <c r="AF143">
        <v>1</v>
      </c>
      <c r="AG143" t="s">
        <v>40</v>
      </c>
      <c r="AH143">
        <v>0</v>
      </c>
      <c r="AI143">
        <v>1</v>
      </c>
      <c r="AJ143">
        <v>0</v>
      </c>
      <c r="AK143" t="s">
        <v>40</v>
      </c>
      <c r="AL143">
        <v>0</v>
      </c>
      <c r="AM143">
        <v>1</v>
      </c>
      <c r="AN143" t="s">
        <v>98</v>
      </c>
      <c r="AO143" s="6">
        <f t="shared" si="40"/>
        <v>0</v>
      </c>
      <c r="AP143" s="6">
        <f t="shared" si="40"/>
        <v>100</v>
      </c>
      <c r="AQ143" t="s">
        <v>106</v>
      </c>
      <c r="AR143" s="6" t="str">
        <f>$O$9</f>
        <v>BXX</v>
      </c>
      <c r="AS143" t="s">
        <v>1</v>
      </c>
      <c r="AT143" s="6" t="str">
        <f>$A$3&amp;".AO_SK"</f>
        <v>BXX_DEV1_DM1.AO_SK</v>
      </c>
      <c r="AU143" t="s">
        <v>1</v>
      </c>
      <c r="AV143" s="6" t="str">
        <f t="shared" si="39"/>
        <v>Sample Motor Stroke Command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</row>
    <row r="144" spans="1:64" x14ac:dyDescent="0.25">
      <c r="A144" s="3" t="str">
        <f>$A$5&amp;"_"&amp;"AI_CV"</f>
        <v>BXX_DEV1_SI1_AI_CV</v>
      </c>
      <c r="B144" s="6" t="str">
        <f t="shared" ref="B144:B149" si="41">$A$5</f>
        <v>BXX_DEV1_SI1</v>
      </c>
      <c r="C144" s="6" t="str">
        <f>$C$5 &amp; " Current Value"</f>
        <v>Sample Motor Speed Current Value</v>
      </c>
      <c r="D144" s="4">
        <f t="shared" si="29"/>
        <v>32</v>
      </c>
      <c r="E144" t="s">
        <v>0</v>
      </c>
      <c r="F144" t="s">
        <v>1</v>
      </c>
      <c r="G144">
        <v>0</v>
      </c>
      <c r="H144" t="s">
        <v>0</v>
      </c>
      <c r="I144" t="s">
        <v>1</v>
      </c>
      <c r="J144">
        <v>0</v>
      </c>
      <c r="K144">
        <v>0</v>
      </c>
      <c r="L144" s="2" t="s">
        <v>99</v>
      </c>
      <c r="M144" s="6">
        <f t="shared" ref="M144:M155" si="42">N144</f>
        <v>0</v>
      </c>
      <c r="N144" s="2">
        <v>0</v>
      </c>
      <c r="O144" s="2">
        <v>100</v>
      </c>
      <c r="P144">
        <v>0</v>
      </c>
      <c r="Q144" s="6">
        <f t="shared" ref="Q144:Q146" si="43">(O144-N144)*0.01</f>
        <v>1</v>
      </c>
      <c r="R144" t="s">
        <v>40</v>
      </c>
      <c r="S144">
        <v>0</v>
      </c>
      <c r="T144">
        <v>1</v>
      </c>
      <c r="U144" t="s">
        <v>40</v>
      </c>
      <c r="V144">
        <v>0</v>
      </c>
      <c r="W144">
        <v>1</v>
      </c>
      <c r="X144" t="s">
        <v>40</v>
      </c>
      <c r="Y144">
        <v>0</v>
      </c>
      <c r="Z144">
        <v>1</v>
      </c>
      <c r="AA144" t="s">
        <v>40</v>
      </c>
      <c r="AB144">
        <v>0</v>
      </c>
      <c r="AC144">
        <v>1</v>
      </c>
      <c r="AD144" t="s">
        <v>40</v>
      </c>
      <c r="AE144">
        <v>0</v>
      </c>
      <c r="AF144">
        <v>1</v>
      </c>
      <c r="AG144" t="s">
        <v>40</v>
      </c>
      <c r="AH144">
        <v>0</v>
      </c>
      <c r="AI144">
        <v>1</v>
      </c>
      <c r="AJ144">
        <v>0</v>
      </c>
      <c r="AK144" t="s">
        <v>40</v>
      </c>
      <c r="AL144">
        <v>0</v>
      </c>
      <c r="AM144">
        <v>1</v>
      </c>
      <c r="AN144" t="s">
        <v>98</v>
      </c>
      <c r="AO144" s="6">
        <f t="shared" ref="AO144:AP155" si="44">N144</f>
        <v>0</v>
      </c>
      <c r="AP144" s="6">
        <f t="shared" si="44"/>
        <v>100</v>
      </c>
      <c r="AQ144" t="s">
        <v>106</v>
      </c>
      <c r="AR144" s="6" t="str">
        <f t="shared" ref="AR144:AR167" si="45">$O$9</f>
        <v>BXX</v>
      </c>
      <c r="AS144" t="s">
        <v>1</v>
      </c>
      <c r="AT144" s="6" t="str">
        <f>$A$5&amp;".AI_CV"</f>
        <v>BXX_DEV1_SI1.AI_CV</v>
      </c>
      <c r="AU144" t="s">
        <v>1</v>
      </c>
      <c r="AV144" s="6" t="str">
        <f t="shared" si="39"/>
        <v>Sample Motor Speed Current Value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</row>
    <row r="145" spans="1:56" s="1" customFormat="1" x14ac:dyDescent="0.25">
      <c r="A145" s="3" t="str">
        <f>$A$5&amp;"_"&amp;"AI_ND"</f>
        <v>BXX_DEV1_SI1_AI_ND</v>
      </c>
      <c r="B145" s="6" t="str">
        <f t="shared" si="41"/>
        <v>BXX_DEV1_SI1</v>
      </c>
      <c r="C145" s="6" t="str">
        <f>$C$5 &amp; " Min Value Today"</f>
        <v>Sample Motor Speed Min Value Today</v>
      </c>
      <c r="D145" s="4">
        <f t="shared" si="29"/>
        <v>34</v>
      </c>
      <c r="E145" s="1" t="s">
        <v>1</v>
      </c>
      <c r="F145" s="1" t="s">
        <v>1</v>
      </c>
      <c r="G145" s="1">
        <v>0</v>
      </c>
      <c r="H145" s="1" t="s">
        <v>0</v>
      </c>
      <c r="I145" s="1" t="s">
        <v>1</v>
      </c>
      <c r="J145" s="1">
        <v>0</v>
      </c>
      <c r="K145" s="1">
        <v>0</v>
      </c>
      <c r="L145" s="6" t="str">
        <f>$L$144</f>
        <v>%</v>
      </c>
      <c r="M145" s="6">
        <f t="shared" si="42"/>
        <v>0</v>
      </c>
      <c r="N145" s="6">
        <f>$N$144</f>
        <v>0</v>
      </c>
      <c r="O145" s="6">
        <f>$O$144</f>
        <v>100</v>
      </c>
      <c r="P145" s="1">
        <v>0</v>
      </c>
      <c r="Q145" s="6">
        <f t="shared" si="43"/>
        <v>1</v>
      </c>
      <c r="R145" s="1" t="s">
        <v>40</v>
      </c>
      <c r="S145" s="1">
        <v>0</v>
      </c>
      <c r="T145" s="1">
        <v>1</v>
      </c>
      <c r="U145" s="1" t="s">
        <v>40</v>
      </c>
      <c r="V145" s="1">
        <v>0</v>
      </c>
      <c r="W145" s="1">
        <v>1</v>
      </c>
      <c r="X145" s="1" t="s">
        <v>40</v>
      </c>
      <c r="Y145" s="1">
        <v>0</v>
      </c>
      <c r="Z145" s="1">
        <v>1</v>
      </c>
      <c r="AA145" s="1" t="s">
        <v>40</v>
      </c>
      <c r="AB145" s="1">
        <v>0</v>
      </c>
      <c r="AC145" s="1">
        <v>1</v>
      </c>
      <c r="AD145" s="1" t="s">
        <v>40</v>
      </c>
      <c r="AE145" s="1">
        <v>0</v>
      </c>
      <c r="AF145" s="1">
        <v>1</v>
      </c>
      <c r="AG145" s="1" t="s">
        <v>40</v>
      </c>
      <c r="AH145" s="1">
        <v>0</v>
      </c>
      <c r="AI145" s="1">
        <v>1</v>
      </c>
      <c r="AJ145" s="1">
        <v>0</v>
      </c>
      <c r="AK145" s="1" t="s">
        <v>40</v>
      </c>
      <c r="AL145" s="1">
        <v>0</v>
      </c>
      <c r="AM145" s="1">
        <v>1</v>
      </c>
      <c r="AN145" s="1" t="s">
        <v>98</v>
      </c>
      <c r="AO145" s="6">
        <f t="shared" si="44"/>
        <v>0</v>
      </c>
      <c r="AP145" s="6">
        <f t="shared" si="44"/>
        <v>100</v>
      </c>
      <c r="AQ145" s="1" t="s">
        <v>106</v>
      </c>
      <c r="AR145" s="6" t="str">
        <f t="shared" si="45"/>
        <v>BXX</v>
      </c>
      <c r="AS145" s="1" t="s">
        <v>1</v>
      </c>
      <c r="AT145" s="6" t="str">
        <f>$A$5&amp;".AI_ND"</f>
        <v>BXX_DEV1_SI1.AI_ND</v>
      </c>
      <c r="AU145" s="1" t="s">
        <v>1</v>
      </c>
      <c r="AV145" s="6" t="str">
        <f t="shared" si="39"/>
        <v>Sample Motor Speed Min Value Today</v>
      </c>
      <c r="AW145" s="1">
        <v>0</v>
      </c>
      <c r="AX145" s="1">
        <v>0</v>
      </c>
      <c r="AY145" s="1">
        <v>0</v>
      </c>
      <c r="AZ145" s="1">
        <v>0</v>
      </c>
      <c r="BA145" s="1">
        <v>0</v>
      </c>
      <c r="BB145" s="1">
        <v>0</v>
      </c>
      <c r="BC145" s="1">
        <v>0</v>
      </c>
      <c r="BD145" s="1">
        <v>0</v>
      </c>
    </row>
    <row r="146" spans="1:56" s="1" customFormat="1" x14ac:dyDescent="0.25">
      <c r="A146" s="3" t="str">
        <f>$A$5&amp;"_"&amp;"AI_NP"</f>
        <v>BXX_DEV1_SI1_AI_NP</v>
      </c>
      <c r="B146" s="6" t="str">
        <f t="shared" si="41"/>
        <v>BXX_DEV1_SI1</v>
      </c>
      <c r="C146" s="6" t="str">
        <f>$C$5 &amp; " Max Value Today"</f>
        <v>Sample Motor Speed Max Value Today</v>
      </c>
      <c r="D146" s="4">
        <f t="shared" si="29"/>
        <v>34</v>
      </c>
      <c r="E146" s="1" t="s">
        <v>1</v>
      </c>
      <c r="F146" s="1" t="s">
        <v>1</v>
      </c>
      <c r="G146" s="1">
        <v>0</v>
      </c>
      <c r="H146" s="1" t="s">
        <v>0</v>
      </c>
      <c r="I146" s="1" t="s">
        <v>1</v>
      </c>
      <c r="J146" s="1">
        <v>0</v>
      </c>
      <c r="K146" s="1">
        <v>0</v>
      </c>
      <c r="L146" s="6" t="str">
        <f t="shared" ref="L146:L151" si="46">$L$144</f>
        <v>%</v>
      </c>
      <c r="M146" s="6">
        <f t="shared" si="42"/>
        <v>0</v>
      </c>
      <c r="N146" s="6">
        <f t="shared" ref="N146:N153" si="47">$N$144</f>
        <v>0</v>
      </c>
      <c r="O146" s="6">
        <f t="shared" ref="O146:O153" si="48">$O$144</f>
        <v>100</v>
      </c>
      <c r="P146" s="1">
        <v>0</v>
      </c>
      <c r="Q146" s="6">
        <f t="shared" si="43"/>
        <v>1</v>
      </c>
      <c r="R146" s="1" t="s">
        <v>40</v>
      </c>
      <c r="S146" s="1">
        <v>0</v>
      </c>
      <c r="T146" s="1">
        <v>1</v>
      </c>
      <c r="U146" s="1" t="s">
        <v>40</v>
      </c>
      <c r="V146" s="1">
        <v>0</v>
      </c>
      <c r="W146" s="1">
        <v>1</v>
      </c>
      <c r="X146" s="1" t="s">
        <v>40</v>
      </c>
      <c r="Y146" s="1">
        <v>0</v>
      </c>
      <c r="Z146" s="1">
        <v>1</v>
      </c>
      <c r="AA146" s="1" t="s">
        <v>40</v>
      </c>
      <c r="AB146" s="1">
        <v>0</v>
      </c>
      <c r="AC146" s="1">
        <v>1</v>
      </c>
      <c r="AD146" s="1" t="s">
        <v>40</v>
      </c>
      <c r="AE146" s="1">
        <v>0</v>
      </c>
      <c r="AF146" s="1">
        <v>1</v>
      </c>
      <c r="AG146" s="1" t="s">
        <v>40</v>
      </c>
      <c r="AH146" s="1">
        <v>0</v>
      </c>
      <c r="AI146" s="1">
        <v>1</v>
      </c>
      <c r="AJ146" s="1">
        <v>0</v>
      </c>
      <c r="AK146" s="1" t="s">
        <v>40</v>
      </c>
      <c r="AL146" s="1">
        <v>0</v>
      </c>
      <c r="AM146" s="1">
        <v>1</v>
      </c>
      <c r="AN146" s="1" t="s">
        <v>98</v>
      </c>
      <c r="AO146" s="6">
        <f t="shared" si="44"/>
        <v>0</v>
      </c>
      <c r="AP146" s="6">
        <f t="shared" si="44"/>
        <v>100</v>
      </c>
      <c r="AQ146" s="1" t="s">
        <v>106</v>
      </c>
      <c r="AR146" s="6" t="str">
        <f t="shared" si="45"/>
        <v>BXX</v>
      </c>
      <c r="AS146" s="1" t="s">
        <v>1</v>
      </c>
      <c r="AT146" s="6" t="str">
        <f>$A$5&amp;".AI_NP"</f>
        <v>BXX_DEV1_SI1.AI_NP</v>
      </c>
      <c r="AU146" s="1" t="s">
        <v>1</v>
      </c>
      <c r="AV146" s="6" t="str">
        <f t="shared" si="39"/>
        <v>Sample Motor Speed Max Value Today</v>
      </c>
      <c r="AW146" s="1">
        <v>0</v>
      </c>
      <c r="AX146" s="1">
        <v>0</v>
      </c>
      <c r="AY146" s="1">
        <v>0</v>
      </c>
      <c r="AZ146" s="1">
        <v>0</v>
      </c>
      <c r="BA146" s="1">
        <v>0</v>
      </c>
      <c r="BB146" s="1">
        <v>0</v>
      </c>
      <c r="BC146" s="1">
        <v>0</v>
      </c>
      <c r="BD146" s="1">
        <v>0</v>
      </c>
    </row>
    <row r="147" spans="1:56" s="1" customFormat="1" x14ac:dyDescent="0.25">
      <c r="A147" s="3" t="str">
        <f>$A$5&amp;"_"&amp;"AI_XD"</f>
        <v>BXX_DEV1_SI1_AI_XD</v>
      </c>
      <c r="B147" s="6" t="str">
        <f t="shared" si="41"/>
        <v>BXX_DEV1_SI1</v>
      </c>
      <c r="C147" s="6" t="str">
        <f>$C$5 &amp; " Min Value Yesterday"</f>
        <v>Sample Motor Speed Min Value Yesterday</v>
      </c>
      <c r="D147" s="4">
        <f t="shared" si="29"/>
        <v>38</v>
      </c>
      <c r="E147" s="1" t="s">
        <v>1</v>
      </c>
      <c r="F147" s="1" t="s">
        <v>1</v>
      </c>
      <c r="G147" s="1">
        <v>0</v>
      </c>
      <c r="H147" s="1" t="s">
        <v>0</v>
      </c>
      <c r="I147" s="1" t="s">
        <v>1</v>
      </c>
      <c r="J147" s="1">
        <v>0</v>
      </c>
      <c r="K147" s="1">
        <v>0</v>
      </c>
      <c r="L147" s="6" t="str">
        <f t="shared" si="46"/>
        <v>%</v>
      </c>
      <c r="M147" s="6">
        <f t="shared" si="42"/>
        <v>0</v>
      </c>
      <c r="N147" s="6">
        <f t="shared" si="47"/>
        <v>0</v>
      </c>
      <c r="O147" s="6">
        <f t="shared" si="48"/>
        <v>100</v>
      </c>
      <c r="P147" s="1">
        <v>0</v>
      </c>
      <c r="Q147" s="1">
        <v>0</v>
      </c>
      <c r="R147" s="1" t="s">
        <v>40</v>
      </c>
      <c r="S147" s="1">
        <v>0</v>
      </c>
      <c r="T147" s="1">
        <v>1</v>
      </c>
      <c r="U147" s="1" t="s">
        <v>40</v>
      </c>
      <c r="V147" s="1">
        <v>0</v>
      </c>
      <c r="W147" s="1">
        <v>1</v>
      </c>
      <c r="X147" s="1" t="s">
        <v>40</v>
      </c>
      <c r="Y147" s="1">
        <v>0</v>
      </c>
      <c r="Z147" s="1">
        <v>1</v>
      </c>
      <c r="AA147" s="1" t="s">
        <v>40</v>
      </c>
      <c r="AB147" s="1">
        <v>0</v>
      </c>
      <c r="AC147" s="1">
        <v>1</v>
      </c>
      <c r="AD147" s="1" t="s">
        <v>40</v>
      </c>
      <c r="AE147" s="1">
        <v>0</v>
      </c>
      <c r="AF147" s="1">
        <v>1</v>
      </c>
      <c r="AG147" s="1" t="s">
        <v>40</v>
      </c>
      <c r="AH147" s="1">
        <v>0</v>
      </c>
      <c r="AI147" s="1">
        <v>1</v>
      </c>
      <c r="AJ147" s="1">
        <v>0</v>
      </c>
      <c r="AK147" s="1" t="s">
        <v>40</v>
      </c>
      <c r="AL147" s="1">
        <v>0</v>
      </c>
      <c r="AM147" s="1">
        <v>1</v>
      </c>
      <c r="AN147" s="1" t="s">
        <v>98</v>
      </c>
      <c r="AO147" s="6">
        <f t="shared" si="44"/>
        <v>0</v>
      </c>
      <c r="AP147" s="6">
        <f t="shared" si="44"/>
        <v>100</v>
      </c>
      <c r="AQ147" s="1" t="s">
        <v>106</v>
      </c>
      <c r="AR147" s="6" t="str">
        <f t="shared" si="45"/>
        <v>BXX</v>
      </c>
      <c r="AS147" s="1" t="s">
        <v>1</v>
      </c>
      <c r="AT147" s="6" t="str">
        <f>$A$5&amp;".AI_XD"</f>
        <v>BXX_DEV1_SI1.AI_XD</v>
      </c>
      <c r="AU147" s="1" t="s">
        <v>1</v>
      </c>
      <c r="AV147" s="6" t="str">
        <f t="shared" si="39"/>
        <v>Sample Motor Speed Min Value Yesterday</v>
      </c>
      <c r="AW147" s="1">
        <v>0</v>
      </c>
      <c r="AX147" s="1">
        <v>0</v>
      </c>
      <c r="AY147" s="1">
        <v>0</v>
      </c>
      <c r="AZ147" s="1">
        <v>0</v>
      </c>
      <c r="BA147" s="1">
        <v>0</v>
      </c>
      <c r="BB147" s="1">
        <v>0</v>
      </c>
      <c r="BC147" s="1">
        <v>0</v>
      </c>
      <c r="BD147" s="1">
        <v>0</v>
      </c>
    </row>
    <row r="148" spans="1:56" s="1" customFormat="1" x14ac:dyDescent="0.25">
      <c r="A148" s="3" t="str">
        <f>$A$5&amp;"_"&amp;"AI_XP"</f>
        <v>BXX_DEV1_SI1_AI_XP</v>
      </c>
      <c r="B148" s="6" t="str">
        <f t="shared" si="41"/>
        <v>BXX_DEV1_SI1</v>
      </c>
      <c r="C148" s="6" t="str">
        <f>$C$5 &amp; " Max Value Yesterday"</f>
        <v>Sample Motor Speed Max Value Yesterday</v>
      </c>
      <c r="D148" s="4">
        <f t="shared" si="29"/>
        <v>38</v>
      </c>
      <c r="E148" s="1" t="s">
        <v>1</v>
      </c>
      <c r="F148" s="1" t="s">
        <v>1</v>
      </c>
      <c r="G148" s="1">
        <v>0</v>
      </c>
      <c r="H148" s="1" t="s">
        <v>0</v>
      </c>
      <c r="I148" s="1" t="s">
        <v>1</v>
      </c>
      <c r="J148" s="1">
        <v>0</v>
      </c>
      <c r="K148" s="1">
        <v>0</v>
      </c>
      <c r="L148" s="6" t="str">
        <f t="shared" si="46"/>
        <v>%</v>
      </c>
      <c r="M148" s="6">
        <f t="shared" si="42"/>
        <v>0</v>
      </c>
      <c r="N148" s="6">
        <f t="shared" si="47"/>
        <v>0</v>
      </c>
      <c r="O148" s="6">
        <f t="shared" si="48"/>
        <v>100</v>
      </c>
      <c r="P148" s="1">
        <v>0</v>
      </c>
      <c r="Q148" s="1">
        <v>0</v>
      </c>
      <c r="R148" s="1" t="s">
        <v>40</v>
      </c>
      <c r="S148" s="1">
        <v>0</v>
      </c>
      <c r="T148" s="1">
        <v>1</v>
      </c>
      <c r="U148" s="1" t="s">
        <v>40</v>
      </c>
      <c r="V148" s="1">
        <v>0</v>
      </c>
      <c r="W148" s="1">
        <v>1</v>
      </c>
      <c r="X148" s="1" t="s">
        <v>40</v>
      </c>
      <c r="Y148" s="1">
        <v>0</v>
      </c>
      <c r="Z148" s="1">
        <v>1</v>
      </c>
      <c r="AA148" s="1" t="s">
        <v>40</v>
      </c>
      <c r="AB148" s="1">
        <v>0</v>
      </c>
      <c r="AC148" s="1">
        <v>1</v>
      </c>
      <c r="AD148" s="1" t="s">
        <v>40</v>
      </c>
      <c r="AE148" s="1">
        <v>0</v>
      </c>
      <c r="AF148" s="1">
        <v>1</v>
      </c>
      <c r="AG148" s="1" t="s">
        <v>40</v>
      </c>
      <c r="AH148" s="1">
        <v>0</v>
      </c>
      <c r="AI148" s="1">
        <v>1</v>
      </c>
      <c r="AJ148" s="1">
        <v>0</v>
      </c>
      <c r="AK148" s="1" t="s">
        <v>40</v>
      </c>
      <c r="AL148" s="1">
        <v>0</v>
      </c>
      <c r="AM148" s="1">
        <v>1</v>
      </c>
      <c r="AN148" s="1" t="s">
        <v>98</v>
      </c>
      <c r="AO148" s="6">
        <f t="shared" si="44"/>
        <v>0</v>
      </c>
      <c r="AP148" s="6">
        <f t="shared" si="44"/>
        <v>100</v>
      </c>
      <c r="AQ148" s="1" t="s">
        <v>106</v>
      </c>
      <c r="AR148" s="6" t="str">
        <f t="shared" si="45"/>
        <v>BXX</v>
      </c>
      <c r="AS148" s="1" t="s">
        <v>1</v>
      </c>
      <c r="AT148" s="6" t="str">
        <f>$A$5&amp;".AI_XP"</f>
        <v>BXX_DEV1_SI1.AI_XP</v>
      </c>
      <c r="AU148" s="1" t="s">
        <v>1</v>
      </c>
      <c r="AV148" s="6" t="str">
        <f t="shared" si="39"/>
        <v>Sample Motor Speed Max Value Yesterday</v>
      </c>
      <c r="AW148" s="1">
        <v>0</v>
      </c>
      <c r="AX148" s="1">
        <v>0</v>
      </c>
      <c r="AY148" s="1">
        <v>0</v>
      </c>
      <c r="AZ148" s="1">
        <v>0</v>
      </c>
      <c r="BA148" s="1">
        <v>0</v>
      </c>
      <c r="BB148" s="1">
        <v>0</v>
      </c>
      <c r="BC148" s="1">
        <v>0</v>
      </c>
      <c r="BD148" s="1">
        <v>0</v>
      </c>
    </row>
    <row r="149" spans="1:56" x14ac:dyDescent="0.25">
      <c r="A149" s="3" t="str">
        <f>$A$5&amp;"_"&amp;"AO_XM"</f>
        <v>BXX_DEV1_SI1_AO_XM</v>
      </c>
      <c r="B149" s="6" t="str">
        <f t="shared" si="41"/>
        <v>BXX_DEV1_SI1</v>
      </c>
      <c r="C149" s="6" t="str">
        <f>$C$5 &amp; " Span Setpoint"</f>
        <v>Sample Motor Speed Span Setpoint</v>
      </c>
      <c r="D149" s="4">
        <f t="shared" si="29"/>
        <v>32</v>
      </c>
      <c r="E149" t="s">
        <v>1</v>
      </c>
      <c r="F149" t="s">
        <v>1</v>
      </c>
      <c r="G149">
        <v>0</v>
      </c>
      <c r="H149" t="s">
        <v>0</v>
      </c>
      <c r="I149" t="s">
        <v>1</v>
      </c>
      <c r="J149">
        <v>0</v>
      </c>
      <c r="K149">
        <v>0</v>
      </c>
      <c r="L149" s="6" t="str">
        <f t="shared" si="46"/>
        <v>%</v>
      </c>
      <c r="M149" s="6">
        <f t="shared" si="42"/>
        <v>0</v>
      </c>
      <c r="N149" s="6">
        <f t="shared" si="47"/>
        <v>0</v>
      </c>
      <c r="O149" s="6">
        <f t="shared" si="48"/>
        <v>100</v>
      </c>
      <c r="P149">
        <v>0</v>
      </c>
      <c r="Q149">
        <v>0</v>
      </c>
      <c r="R149" t="s">
        <v>40</v>
      </c>
      <c r="S149">
        <v>0</v>
      </c>
      <c r="T149">
        <v>1</v>
      </c>
      <c r="U149" t="s">
        <v>40</v>
      </c>
      <c r="V149">
        <v>0</v>
      </c>
      <c r="W149">
        <v>1</v>
      </c>
      <c r="X149" t="s">
        <v>40</v>
      </c>
      <c r="Y149">
        <v>0</v>
      </c>
      <c r="Z149">
        <v>1</v>
      </c>
      <c r="AA149" t="s">
        <v>40</v>
      </c>
      <c r="AB149">
        <v>0</v>
      </c>
      <c r="AC149">
        <v>1</v>
      </c>
      <c r="AD149" t="s">
        <v>40</v>
      </c>
      <c r="AE149">
        <v>0</v>
      </c>
      <c r="AF149">
        <v>1</v>
      </c>
      <c r="AG149" t="s">
        <v>40</v>
      </c>
      <c r="AH149">
        <v>0</v>
      </c>
      <c r="AI149">
        <v>1</v>
      </c>
      <c r="AJ149">
        <v>0</v>
      </c>
      <c r="AK149" t="s">
        <v>40</v>
      </c>
      <c r="AL149">
        <v>0</v>
      </c>
      <c r="AM149">
        <v>1</v>
      </c>
      <c r="AN149" t="s">
        <v>98</v>
      </c>
      <c r="AO149" s="6">
        <f t="shared" si="44"/>
        <v>0</v>
      </c>
      <c r="AP149" s="6">
        <f t="shared" si="44"/>
        <v>100</v>
      </c>
      <c r="AQ149" t="s">
        <v>106</v>
      </c>
      <c r="AR149" s="6" t="str">
        <f t="shared" si="45"/>
        <v>BXX</v>
      </c>
      <c r="AS149" t="s">
        <v>1</v>
      </c>
      <c r="AT149" s="6" t="str">
        <f>$A$5&amp;".AO_XM"</f>
        <v>BXX_DEV1_SI1.AO_XM</v>
      </c>
      <c r="AU149" t="s">
        <v>1</v>
      </c>
      <c r="AV149" s="6" t="str">
        <f t="shared" si="39"/>
        <v>Sample Motor Speed Span Setpoint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</row>
    <row r="150" spans="1:56" x14ac:dyDescent="0.25">
      <c r="A150" s="3" t="str">
        <f>$A$5&amp;"_"&amp;"AO_EM"</f>
        <v>BXX_DEV1_SI1_AO_EM</v>
      </c>
      <c r="B150" s="6" t="str">
        <f t="shared" ref="B150:B155" si="49">$A$5</f>
        <v>BXX_DEV1_SI1</v>
      </c>
      <c r="C150" s="6" t="str">
        <f>$C$5 &amp; " Zero Setpoint"</f>
        <v>Sample Motor Speed Zero Setpoint</v>
      </c>
      <c r="D150" s="4">
        <f t="shared" si="29"/>
        <v>32</v>
      </c>
      <c r="E150" t="s">
        <v>1</v>
      </c>
      <c r="F150" t="s">
        <v>1</v>
      </c>
      <c r="G150">
        <v>0</v>
      </c>
      <c r="H150" t="s">
        <v>0</v>
      </c>
      <c r="I150" t="s">
        <v>1</v>
      </c>
      <c r="J150">
        <v>0</v>
      </c>
      <c r="K150">
        <v>0</v>
      </c>
      <c r="L150" s="6" t="str">
        <f t="shared" si="46"/>
        <v>%</v>
      </c>
      <c r="M150" s="6">
        <f t="shared" si="42"/>
        <v>0</v>
      </c>
      <c r="N150" s="6">
        <f t="shared" si="47"/>
        <v>0</v>
      </c>
      <c r="O150" s="6">
        <f t="shared" si="48"/>
        <v>100</v>
      </c>
      <c r="P150">
        <v>0</v>
      </c>
      <c r="Q150">
        <v>0</v>
      </c>
      <c r="R150" t="s">
        <v>40</v>
      </c>
      <c r="S150">
        <v>0</v>
      </c>
      <c r="T150">
        <v>1</v>
      </c>
      <c r="U150" t="s">
        <v>40</v>
      </c>
      <c r="V150">
        <v>0</v>
      </c>
      <c r="W150">
        <v>1</v>
      </c>
      <c r="X150" t="s">
        <v>40</v>
      </c>
      <c r="Y150">
        <v>0</v>
      </c>
      <c r="Z150">
        <v>1</v>
      </c>
      <c r="AA150" t="s">
        <v>40</v>
      </c>
      <c r="AB150">
        <v>0</v>
      </c>
      <c r="AC150">
        <v>1</v>
      </c>
      <c r="AD150" t="s">
        <v>40</v>
      </c>
      <c r="AE150">
        <v>0</v>
      </c>
      <c r="AF150">
        <v>1</v>
      </c>
      <c r="AG150" t="s">
        <v>40</v>
      </c>
      <c r="AH150">
        <v>0</v>
      </c>
      <c r="AI150">
        <v>1</v>
      </c>
      <c r="AJ150">
        <v>0</v>
      </c>
      <c r="AK150" t="s">
        <v>40</v>
      </c>
      <c r="AL150">
        <v>0</v>
      </c>
      <c r="AM150">
        <v>1</v>
      </c>
      <c r="AN150" t="s">
        <v>98</v>
      </c>
      <c r="AO150" s="6">
        <f t="shared" si="44"/>
        <v>0</v>
      </c>
      <c r="AP150" s="6">
        <f t="shared" si="44"/>
        <v>100</v>
      </c>
      <c r="AQ150" t="s">
        <v>106</v>
      </c>
      <c r="AR150" s="6" t="str">
        <f t="shared" si="45"/>
        <v>BXX</v>
      </c>
      <c r="AS150" t="s">
        <v>1</v>
      </c>
      <c r="AT150" s="6" t="str">
        <f>$A$5&amp;".AO_EM"</f>
        <v>BXX_DEV1_SI1.AO_EM</v>
      </c>
      <c r="AU150" t="s">
        <v>1</v>
      </c>
      <c r="AV150" s="6" t="str">
        <f t="shared" si="39"/>
        <v>Sample Motor Speed Zero Setpoint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</row>
    <row r="151" spans="1:56" x14ac:dyDescent="0.25">
      <c r="A151" s="3" t="str">
        <f>$A$5&amp;"_"&amp;"AO_SV"</f>
        <v>BXX_DEV1_SI1_AO_SV</v>
      </c>
      <c r="B151" s="6" t="str">
        <f t="shared" si="49"/>
        <v>BXX_DEV1_SI1</v>
      </c>
      <c r="C151" s="6" t="str">
        <f>$C$5 &amp; " Override Value"</f>
        <v>Sample Motor Speed Override Value</v>
      </c>
      <c r="D151" s="4">
        <f t="shared" si="29"/>
        <v>33</v>
      </c>
      <c r="E151" t="s">
        <v>1</v>
      </c>
      <c r="F151" t="s">
        <v>0</v>
      </c>
      <c r="G151" s="2">
        <v>700</v>
      </c>
      <c r="H151" t="s">
        <v>0</v>
      </c>
      <c r="I151" t="s">
        <v>1</v>
      </c>
      <c r="J151">
        <v>0</v>
      </c>
      <c r="K151">
        <v>0</v>
      </c>
      <c r="L151" s="6" t="str">
        <f t="shared" si="46"/>
        <v>%</v>
      </c>
      <c r="M151" s="6">
        <f t="shared" si="42"/>
        <v>0</v>
      </c>
      <c r="N151" s="6">
        <f t="shared" si="47"/>
        <v>0</v>
      </c>
      <c r="O151" s="6">
        <f t="shared" si="48"/>
        <v>100</v>
      </c>
      <c r="P151">
        <v>0</v>
      </c>
      <c r="Q151">
        <v>0</v>
      </c>
      <c r="R151" t="s">
        <v>40</v>
      </c>
      <c r="S151">
        <v>0</v>
      </c>
      <c r="T151">
        <v>1</v>
      </c>
      <c r="U151" t="s">
        <v>40</v>
      </c>
      <c r="V151">
        <v>0</v>
      </c>
      <c r="W151">
        <v>1</v>
      </c>
      <c r="X151" t="s">
        <v>40</v>
      </c>
      <c r="Y151">
        <v>0</v>
      </c>
      <c r="Z151">
        <v>1</v>
      </c>
      <c r="AA151" t="s">
        <v>40</v>
      </c>
      <c r="AB151">
        <v>0</v>
      </c>
      <c r="AC151">
        <v>1</v>
      </c>
      <c r="AD151" t="s">
        <v>40</v>
      </c>
      <c r="AE151">
        <v>0</v>
      </c>
      <c r="AF151">
        <v>1</v>
      </c>
      <c r="AG151" t="s">
        <v>40</v>
      </c>
      <c r="AH151">
        <v>0</v>
      </c>
      <c r="AI151">
        <v>1</v>
      </c>
      <c r="AJ151">
        <v>0</v>
      </c>
      <c r="AK151" t="s">
        <v>40</v>
      </c>
      <c r="AL151">
        <v>0</v>
      </c>
      <c r="AM151">
        <v>1</v>
      </c>
      <c r="AN151" t="s">
        <v>98</v>
      </c>
      <c r="AO151" s="6">
        <f t="shared" si="44"/>
        <v>0</v>
      </c>
      <c r="AP151" s="6">
        <f t="shared" si="44"/>
        <v>100</v>
      </c>
      <c r="AQ151" t="s">
        <v>106</v>
      </c>
      <c r="AR151" s="6" t="str">
        <f t="shared" si="45"/>
        <v>BXX</v>
      </c>
      <c r="AS151" t="s">
        <v>1</v>
      </c>
      <c r="AT151" s="6" t="str">
        <f>$A$5&amp;".AO_SV"</f>
        <v>BXX_DEV1_SI1.AO_SV</v>
      </c>
      <c r="AU151" t="s">
        <v>1</v>
      </c>
      <c r="AV151" s="6" t="str">
        <f t="shared" si="39"/>
        <v>Sample Motor Speed Override Value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</row>
    <row r="152" spans="1:56" x14ac:dyDescent="0.25">
      <c r="A152" s="3" t="str">
        <f>$A$5&amp;"_"&amp;"SN_ZA"</f>
        <v>BXX_DEV1_SI1_SN_ZA</v>
      </c>
      <c r="B152" s="6" t="str">
        <f t="shared" si="49"/>
        <v>BXX_DEV1_SI1</v>
      </c>
      <c r="C152" s="6" t="str">
        <f>$C$5 &amp; " Deviation Alarm Delay"</f>
        <v>Sample Motor Speed Deviation Alarm Delay</v>
      </c>
      <c r="D152" s="4">
        <f t="shared" si="29"/>
        <v>40</v>
      </c>
      <c r="E152" t="s">
        <v>1</v>
      </c>
      <c r="F152" t="s">
        <v>0</v>
      </c>
      <c r="G152" s="2">
        <v>600</v>
      </c>
      <c r="H152" t="s">
        <v>0</v>
      </c>
      <c r="I152" t="s">
        <v>1</v>
      </c>
      <c r="J152">
        <v>0</v>
      </c>
      <c r="K152">
        <v>0</v>
      </c>
      <c r="L152" t="s">
        <v>109</v>
      </c>
      <c r="M152" s="6">
        <f t="shared" si="42"/>
        <v>0</v>
      </c>
      <c r="N152">
        <v>0</v>
      </c>
      <c r="O152">
        <v>999</v>
      </c>
      <c r="P152">
        <v>0</v>
      </c>
      <c r="Q152">
        <v>0</v>
      </c>
      <c r="R152" t="s">
        <v>40</v>
      </c>
      <c r="S152">
        <v>0</v>
      </c>
      <c r="T152">
        <v>1</v>
      </c>
      <c r="U152" t="s">
        <v>40</v>
      </c>
      <c r="V152">
        <v>0</v>
      </c>
      <c r="W152">
        <v>1</v>
      </c>
      <c r="X152" t="s">
        <v>40</v>
      </c>
      <c r="Y152">
        <v>0</v>
      </c>
      <c r="Z152">
        <v>1</v>
      </c>
      <c r="AA152" t="s">
        <v>40</v>
      </c>
      <c r="AB152">
        <v>0</v>
      </c>
      <c r="AC152">
        <v>1</v>
      </c>
      <c r="AD152" t="s">
        <v>40</v>
      </c>
      <c r="AE152">
        <v>0</v>
      </c>
      <c r="AF152">
        <v>1</v>
      </c>
      <c r="AG152" t="s">
        <v>40</v>
      </c>
      <c r="AH152">
        <v>0</v>
      </c>
      <c r="AI152">
        <v>1</v>
      </c>
      <c r="AJ152">
        <v>0</v>
      </c>
      <c r="AK152" t="s">
        <v>40</v>
      </c>
      <c r="AL152">
        <v>0</v>
      </c>
      <c r="AM152">
        <v>1</v>
      </c>
      <c r="AN152" t="s">
        <v>98</v>
      </c>
      <c r="AO152" s="6">
        <f t="shared" si="44"/>
        <v>0</v>
      </c>
      <c r="AP152" s="6">
        <f t="shared" si="44"/>
        <v>999</v>
      </c>
      <c r="AQ152" t="s">
        <v>106</v>
      </c>
      <c r="AR152" s="6" t="str">
        <f t="shared" si="45"/>
        <v>BXX</v>
      </c>
      <c r="AS152" t="s">
        <v>1</v>
      </c>
      <c r="AT152" s="6" t="str">
        <f>$A$5&amp;".SN_LO"</f>
        <v>BXX_DEV1_SI1.SN_LO</v>
      </c>
      <c r="AU152" t="s">
        <v>1</v>
      </c>
      <c r="AV152" s="6" t="str">
        <f t="shared" si="39"/>
        <v>Sample Motor Speed Deviation Alarm Delay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</row>
    <row r="153" spans="1:56" x14ac:dyDescent="0.25">
      <c r="A153" s="3" t="str">
        <f>$A$5&amp;"_"&amp;"AO_ZA"</f>
        <v>BXX_DEV1_SI1_AO_ZA</v>
      </c>
      <c r="B153" s="6" t="str">
        <f t="shared" si="49"/>
        <v>BXX_DEV1_SI1</v>
      </c>
      <c r="C153" s="6" t="str">
        <f>$C$5 &amp; " Deviation Setpoint"</f>
        <v>Sample Motor Speed Deviation Setpoint</v>
      </c>
      <c r="D153" s="4">
        <f t="shared" si="29"/>
        <v>37</v>
      </c>
      <c r="E153" t="s">
        <v>1</v>
      </c>
      <c r="F153" t="s">
        <v>0</v>
      </c>
      <c r="G153" s="2">
        <v>600</v>
      </c>
      <c r="H153" t="s">
        <v>0</v>
      </c>
      <c r="I153" t="s">
        <v>1</v>
      </c>
      <c r="J153">
        <v>0</v>
      </c>
      <c r="K153">
        <v>0</v>
      </c>
      <c r="L153" s="6" t="str">
        <f t="shared" ref="L153" si="50">$L$50</f>
        <v>None</v>
      </c>
      <c r="M153" s="6">
        <f t="shared" si="42"/>
        <v>0</v>
      </c>
      <c r="N153" s="6">
        <f t="shared" si="47"/>
        <v>0</v>
      </c>
      <c r="O153" s="6">
        <f t="shared" si="48"/>
        <v>100</v>
      </c>
      <c r="P153">
        <v>0</v>
      </c>
      <c r="Q153">
        <v>0</v>
      </c>
      <c r="R153" t="s">
        <v>40</v>
      </c>
      <c r="S153">
        <v>0</v>
      </c>
      <c r="T153">
        <v>1</v>
      </c>
      <c r="U153" t="s">
        <v>40</v>
      </c>
      <c r="V153">
        <v>0</v>
      </c>
      <c r="W153">
        <v>1</v>
      </c>
      <c r="X153" t="s">
        <v>40</v>
      </c>
      <c r="Y153">
        <v>0</v>
      </c>
      <c r="Z153">
        <v>1</v>
      </c>
      <c r="AA153" t="s">
        <v>40</v>
      </c>
      <c r="AB153">
        <v>0</v>
      </c>
      <c r="AC153">
        <v>1</v>
      </c>
      <c r="AD153" t="s">
        <v>40</v>
      </c>
      <c r="AE153">
        <v>0</v>
      </c>
      <c r="AF153">
        <v>1</v>
      </c>
      <c r="AG153" t="s">
        <v>40</v>
      </c>
      <c r="AH153">
        <v>0</v>
      </c>
      <c r="AI153">
        <v>1</v>
      </c>
      <c r="AJ153">
        <v>0</v>
      </c>
      <c r="AK153" t="s">
        <v>40</v>
      </c>
      <c r="AL153">
        <v>0</v>
      </c>
      <c r="AM153">
        <v>1</v>
      </c>
      <c r="AN153" t="s">
        <v>98</v>
      </c>
      <c r="AO153" s="6">
        <f t="shared" si="44"/>
        <v>0</v>
      </c>
      <c r="AP153" s="6">
        <f t="shared" si="44"/>
        <v>100</v>
      </c>
      <c r="AQ153" t="s">
        <v>106</v>
      </c>
      <c r="AR153" s="6" t="str">
        <f t="shared" si="45"/>
        <v>BXX</v>
      </c>
      <c r="AS153" t="s">
        <v>1</v>
      </c>
      <c r="AT153" s="6" t="str">
        <f>$A$5&amp;".AO_LL"</f>
        <v>BXX_DEV1_SI1.AO_LL</v>
      </c>
      <c r="AU153" t="s">
        <v>1</v>
      </c>
      <c r="AV153" s="6" t="str">
        <f t="shared" si="39"/>
        <v>Sample Motor Speed Deviation Setpoint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</row>
    <row r="154" spans="1:56" x14ac:dyDescent="0.25">
      <c r="A154" s="3" t="str">
        <f>$A$5&amp;"_"&amp;"E3_CV"</f>
        <v>BXX_DEV1_SI1_E3_CV</v>
      </c>
      <c r="B154" s="6" t="str">
        <f t="shared" si="49"/>
        <v>BXX_DEV1_SI1</v>
      </c>
      <c r="C154" s="6" t="str">
        <f>$C$5 &amp; " Units 3"</f>
        <v>Sample Motor Speed Units 3</v>
      </c>
      <c r="D154" s="4">
        <f t="shared" si="29"/>
        <v>26</v>
      </c>
      <c r="E154" t="s">
        <v>1</v>
      </c>
      <c r="F154" t="s">
        <v>1</v>
      </c>
      <c r="G154">
        <v>0</v>
      </c>
      <c r="H154" t="s">
        <v>0</v>
      </c>
      <c r="I154" t="s">
        <v>1</v>
      </c>
      <c r="J154">
        <v>0</v>
      </c>
      <c r="K154">
        <v>0</v>
      </c>
      <c r="L154" s="2" t="s">
        <v>108</v>
      </c>
      <c r="M154" s="6">
        <f t="shared" si="42"/>
        <v>4</v>
      </c>
      <c r="N154" s="2">
        <v>4</v>
      </c>
      <c r="O154" s="2">
        <v>20</v>
      </c>
      <c r="P154">
        <v>0</v>
      </c>
      <c r="Q154">
        <v>0</v>
      </c>
      <c r="R154" t="s">
        <v>40</v>
      </c>
      <c r="S154">
        <v>0</v>
      </c>
      <c r="T154">
        <v>1</v>
      </c>
      <c r="U154" t="s">
        <v>40</v>
      </c>
      <c r="V154">
        <v>0</v>
      </c>
      <c r="W154">
        <v>1</v>
      </c>
      <c r="X154" t="s">
        <v>40</v>
      </c>
      <c r="Y154">
        <v>0</v>
      </c>
      <c r="Z154">
        <v>1</v>
      </c>
      <c r="AA154" t="s">
        <v>40</v>
      </c>
      <c r="AB154">
        <v>0</v>
      </c>
      <c r="AC154">
        <v>1</v>
      </c>
      <c r="AD154" t="s">
        <v>40</v>
      </c>
      <c r="AE154">
        <v>0</v>
      </c>
      <c r="AF154">
        <v>1</v>
      </c>
      <c r="AG154" t="s">
        <v>40</v>
      </c>
      <c r="AH154">
        <v>0</v>
      </c>
      <c r="AI154">
        <v>1</v>
      </c>
      <c r="AJ154">
        <v>0</v>
      </c>
      <c r="AK154" t="s">
        <v>40</v>
      </c>
      <c r="AL154">
        <v>0</v>
      </c>
      <c r="AM154">
        <v>1</v>
      </c>
      <c r="AN154" t="s">
        <v>98</v>
      </c>
      <c r="AO154" s="6">
        <f t="shared" si="44"/>
        <v>4</v>
      </c>
      <c r="AP154" s="6">
        <f t="shared" si="44"/>
        <v>20</v>
      </c>
      <c r="AQ154" t="s">
        <v>106</v>
      </c>
      <c r="AR154" s="6" t="str">
        <f t="shared" si="45"/>
        <v>BXX</v>
      </c>
      <c r="AS154" t="s">
        <v>1</v>
      </c>
      <c r="AT154" s="6" t="str">
        <f>$A$5&amp;".E3_CV"</f>
        <v>BXX_DEV1_SI1.E3_CV</v>
      </c>
      <c r="AU154" t="s">
        <v>1</v>
      </c>
      <c r="AV154" s="6" t="str">
        <f t="shared" si="39"/>
        <v>Sample Motor Speed Units 3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</row>
    <row r="155" spans="1:56" x14ac:dyDescent="0.25">
      <c r="A155" s="3" t="str">
        <f>$A$5&amp;"_"&amp;"E2_CV"</f>
        <v>BXX_DEV1_SI1_E2_CV</v>
      </c>
      <c r="B155" s="6" t="str">
        <f t="shared" si="49"/>
        <v>BXX_DEV1_SI1</v>
      </c>
      <c r="C155" s="6" t="str">
        <f>$C$5 &amp; " Units 2"</f>
        <v>Sample Motor Speed Units 2</v>
      </c>
      <c r="D155" s="4">
        <f t="shared" si="29"/>
        <v>26</v>
      </c>
      <c r="E155" t="s">
        <v>1</v>
      </c>
      <c r="F155" t="s">
        <v>1</v>
      </c>
      <c r="G155">
        <v>0</v>
      </c>
      <c r="H155" t="s">
        <v>0</v>
      </c>
      <c r="I155" t="s">
        <v>1</v>
      </c>
      <c r="J155">
        <v>0</v>
      </c>
      <c r="K155">
        <v>0</v>
      </c>
      <c r="L155" s="2" t="s">
        <v>99</v>
      </c>
      <c r="M155" s="6">
        <f t="shared" si="42"/>
        <v>0</v>
      </c>
      <c r="N155" s="2">
        <v>0</v>
      </c>
      <c r="O155" s="2">
        <v>100</v>
      </c>
      <c r="P155">
        <v>0</v>
      </c>
      <c r="Q155">
        <v>0</v>
      </c>
      <c r="R155" t="s">
        <v>40</v>
      </c>
      <c r="S155">
        <v>0</v>
      </c>
      <c r="T155">
        <v>1</v>
      </c>
      <c r="U155" t="s">
        <v>40</v>
      </c>
      <c r="V155">
        <v>0</v>
      </c>
      <c r="W155">
        <v>1</v>
      </c>
      <c r="X155" t="s">
        <v>40</v>
      </c>
      <c r="Y155">
        <v>0</v>
      </c>
      <c r="Z155">
        <v>1</v>
      </c>
      <c r="AA155" t="s">
        <v>40</v>
      </c>
      <c r="AB155">
        <v>0</v>
      </c>
      <c r="AC155">
        <v>1</v>
      </c>
      <c r="AD155" t="s">
        <v>40</v>
      </c>
      <c r="AE155">
        <v>0</v>
      </c>
      <c r="AF155">
        <v>1</v>
      </c>
      <c r="AG155" t="s">
        <v>40</v>
      </c>
      <c r="AH155">
        <v>0</v>
      </c>
      <c r="AI155">
        <v>1</v>
      </c>
      <c r="AJ155">
        <v>0</v>
      </c>
      <c r="AK155" t="s">
        <v>40</v>
      </c>
      <c r="AL155">
        <v>0</v>
      </c>
      <c r="AM155">
        <v>1</v>
      </c>
      <c r="AN155" t="s">
        <v>98</v>
      </c>
      <c r="AO155" s="6">
        <f t="shared" si="44"/>
        <v>0</v>
      </c>
      <c r="AP155" s="6">
        <f t="shared" si="44"/>
        <v>100</v>
      </c>
      <c r="AQ155" t="s">
        <v>106</v>
      </c>
      <c r="AR155" s="6" t="str">
        <f t="shared" si="45"/>
        <v>BXX</v>
      </c>
      <c r="AS155" t="s">
        <v>1</v>
      </c>
      <c r="AT155" s="6" t="str">
        <f>$A$5&amp;".E2_CV"</f>
        <v>BXX_DEV1_SI1.E2_CV</v>
      </c>
      <c r="AU155" t="s">
        <v>1</v>
      </c>
      <c r="AV155" s="6" t="str">
        <f t="shared" si="39"/>
        <v>Sample Motor Speed Units 2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</row>
    <row r="156" spans="1:56" x14ac:dyDescent="0.25">
      <c r="A156" s="3" t="str">
        <f>$A$6&amp;"_"&amp;"AI_CV"</f>
        <v>BXX_DEV1_SK1_AI_CV</v>
      </c>
      <c r="B156" s="6" t="str">
        <f>$A$6</f>
        <v>BXX_DEV1_SK1</v>
      </c>
      <c r="C156" s="6" t="str">
        <f>$C$6 &amp; " Current Value"</f>
        <v>Sample Motor Stroke Current Value</v>
      </c>
      <c r="D156" s="4">
        <f t="shared" si="29"/>
        <v>33</v>
      </c>
      <c r="E156" t="s">
        <v>0</v>
      </c>
      <c r="F156" t="s">
        <v>1</v>
      </c>
      <c r="G156">
        <v>0</v>
      </c>
      <c r="H156" t="s">
        <v>0</v>
      </c>
      <c r="I156" t="s">
        <v>1</v>
      </c>
      <c r="J156">
        <v>0</v>
      </c>
      <c r="K156">
        <v>0</v>
      </c>
      <c r="L156" s="2" t="s">
        <v>99</v>
      </c>
      <c r="M156" s="6">
        <f t="shared" ref="M156:M167" si="51">N156</f>
        <v>0</v>
      </c>
      <c r="N156" s="2">
        <v>0</v>
      </c>
      <c r="O156" s="2">
        <v>100</v>
      </c>
      <c r="P156">
        <v>0</v>
      </c>
      <c r="Q156" s="6">
        <f t="shared" ref="Q156:Q158" si="52">(O156-N156)*0.01</f>
        <v>1</v>
      </c>
      <c r="R156" t="s">
        <v>40</v>
      </c>
      <c r="S156">
        <v>0</v>
      </c>
      <c r="T156">
        <v>1</v>
      </c>
      <c r="U156" t="s">
        <v>40</v>
      </c>
      <c r="V156">
        <v>0</v>
      </c>
      <c r="W156">
        <v>1</v>
      </c>
      <c r="X156" t="s">
        <v>40</v>
      </c>
      <c r="Y156">
        <v>0</v>
      </c>
      <c r="Z156">
        <v>1</v>
      </c>
      <c r="AA156" t="s">
        <v>40</v>
      </c>
      <c r="AB156">
        <v>0</v>
      </c>
      <c r="AC156">
        <v>1</v>
      </c>
      <c r="AD156" t="s">
        <v>40</v>
      </c>
      <c r="AE156">
        <v>0</v>
      </c>
      <c r="AF156">
        <v>1</v>
      </c>
      <c r="AG156" t="s">
        <v>40</v>
      </c>
      <c r="AH156">
        <v>0</v>
      </c>
      <c r="AI156">
        <v>1</v>
      </c>
      <c r="AJ156">
        <v>0</v>
      </c>
      <c r="AK156" t="s">
        <v>40</v>
      </c>
      <c r="AL156">
        <v>0</v>
      </c>
      <c r="AM156">
        <v>1</v>
      </c>
      <c r="AN156" t="s">
        <v>98</v>
      </c>
      <c r="AO156" s="6">
        <f t="shared" ref="AO156:AO167" si="53">N156</f>
        <v>0</v>
      </c>
      <c r="AP156" s="6">
        <f t="shared" ref="AP156:AP167" si="54">O156</f>
        <v>100</v>
      </c>
      <c r="AQ156" t="s">
        <v>106</v>
      </c>
      <c r="AR156" s="6" t="str">
        <f t="shared" si="45"/>
        <v>BXX</v>
      </c>
      <c r="AS156" t="s">
        <v>1</v>
      </c>
      <c r="AT156" s="6" t="str">
        <f>$A$6&amp;".AI_CV"</f>
        <v>BXX_DEV1_SK1.AI_CV</v>
      </c>
      <c r="AU156" t="s">
        <v>1</v>
      </c>
      <c r="AV156" s="6" t="str">
        <f t="shared" ref="AV156:AV167" si="55">C156</f>
        <v>Sample Motor Stroke Current Value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</row>
    <row r="157" spans="1:56" s="1" customFormat="1" x14ac:dyDescent="0.25">
      <c r="A157" s="3" t="str">
        <f>$A$6&amp;"_"&amp;"AI_ND"</f>
        <v>BXX_DEV1_SK1_AI_ND</v>
      </c>
      <c r="B157" s="6" t="str">
        <f t="shared" ref="B157:B167" si="56">$A$6</f>
        <v>BXX_DEV1_SK1</v>
      </c>
      <c r="C157" s="6" t="str">
        <f>$C$6 &amp; " Min Value Today"</f>
        <v>Sample Motor Stroke Min Value Today</v>
      </c>
      <c r="D157" s="4">
        <f t="shared" si="29"/>
        <v>35</v>
      </c>
      <c r="E157" s="1" t="s">
        <v>1</v>
      </c>
      <c r="F157" s="1" t="s">
        <v>1</v>
      </c>
      <c r="G157" s="1">
        <v>0</v>
      </c>
      <c r="H157" s="1" t="s">
        <v>0</v>
      </c>
      <c r="I157" s="1" t="s">
        <v>1</v>
      </c>
      <c r="J157" s="1">
        <v>0</v>
      </c>
      <c r="K157" s="1">
        <v>0</v>
      </c>
      <c r="L157" s="6" t="str">
        <f>$L$156</f>
        <v>%</v>
      </c>
      <c r="M157" s="6">
        <f t="shared" si="51"/>
        <v>0</v>
      </c>
      <c r="N157" s="6">
        <f>$N$144</f>
        <v>0</v>
      </c>
      <c r="O157" s="6">
        <f>$O$144</f>
        <v>100</v>
      </c>
      <c r="P157" s="1">
        <v>0</v>
      </c>
      <c r="Q157" s="6">
        <f t="shared" si="52"/>
        <v>1</v>
      </c>
      <c r="R157" s="1" t="s">
        <v>40</v>
      </c>
      <c r="S157" s="1">
        <v>0</v>
      </c>
      <c r="T157" s="1">
        <v>1</v>
      </c>
      <c r="U157" s="1" t="s">
        <v>40</v>
      </c>
      <c r="V157" s="1">
        <v>0</v>
      </c>
      <c r="W157" s="1">
        <v>1</v>
      </c>
      <c r="X157" s="1" t="s">
        <v>40</v>
      </c>
      <c r="Y157" s="1">
        <v>0</v>
      </c>
      <c r="Z157" s="1">
        <v>1</v>
      </c>
      <c r="AA157" s="1" t="s">
        <v>40</v>
      </c>
      <c r="AB157" s="1">
        <v>0</v>
      </c>
      <c r="AC157" s="1">
        <v>1</v>
      </c>
      <c r="AD157" s="1" t="s">
        <v>40</v>
      </c>
      <c r="AE157" s="1">
        <v>0</v>
      </c>
      <c r="AF157" s="1">
        <v>1</v>
      </c>
      <c r="AG157" s="1" t="s">
        <v>40</v>
      </c>
      <c r="AH157" s="1">
        <v>0</v>
      </c>
      <c r="AI157" s="1">
        <v>1</v>
      </c>
      <c r="AJ157" s="1">
        <v>0</v>
      </c>
      <c r="AK157" s="1" t="s">
        <v>40</v>
      </c>
      <c r="AL157" s="1">
        <v>0</v>
      </c>
      <c r="AM157" s="1">
        <v>1</v>
      </c>
      <c r="AN157" s="1" t="s">
        <v>98</v>
      </c>
      <c r="AO157" s="6">
        <f t="shared" si="53"/>
        <v>0</v>
      </c>
      <c r="AP157" s="6">
        <f t="shared" si="54"/>
        <v>100</v>
      </c>
      <c r="AQ157" s="1" t="s">
        <v>106</v>
      </c>
      <c r="AR157" s="6" t="str">
        <f t="shared" si="45"/>
        <v>BXX</v>
      </c>
      <c r="AS157" s="1" t="s">
        <v>1</v>
      </c>
      <c r="AT157" s="6" t="str">
        <f>$A$6&amp;".AI_ND"</f>
        <v>BXX_DEV1_SK1.AI_ND</v>
      </c>
      <c r="AU157" s="1" t="s">
        <v>1</v>
      </c>
      <c r="AV157" s="6" t="str">
        <f t="shared" si="55"/>
        <v>Sample Motor Stroke Min Value Today</v>
      </c>
      <c r="AW157" s="1">
        <v>0</v>
      </c>
      <c r="AX157" s="1">
        <v>0</v>
      </c>
      <c r="AY157" s="1">
        <v>0</v>
      </c>
      <c r="AZ157" s="1">
        <v>0</v>
      </c>
      <c r="BA157" s="1">
        <v>0</v>
      </c>
      <c r="BB157" s="1">
        <v>0</v>
      </c>
      <c r="BC157" s="1">
        <v>0</v>
      </c>
      <c r="BD157" s="1">
        <v>0</v>
      </c>
    </row>
    <row r="158" spans="1:56" s="1" customFormat="1" x14ac:dyDescent="0.25">
      <c r="A158" s="3" t="str">
        <f>$A$6&amp;"_"&amp;"AI_NP"</f>
        <v>BXX_DEV1_SK1_AI_NP</v>
      </c>
      <c r="B158" s="6" t="str">
        <f t="shared" si="56"/>
        <v>BXX_DEV1_SK1</v>
      </c>
      <c r="C158" s="6" t="str">
        <f>$C$6 &amp; " Max Value Today"</f>
        <v>Sample Motor Stroke Max Value Today</v>
      </c>
      <c r="D158" s="4">
        <f t="shared" si="29"/>
        <v>35</v>
      </c>
      <c r="E158" s="1" t="s">
        <v>1</v>
      </c>
      <c r="F158" s="1" t="s">
        <v>1</v>
      </c>
      <c r="G158" s="1">
        <v>0</v>
      </c>
      <c r="H158" s="1" t="s">
        <v>0</v>
      </c>
      <c r="I158" s="1" t="s">
        <v>1</v>
      </c>
      <c r="J158" s="1">
        <v>0</v>
      </c>
      <c r="K158" s="1">
        <v>0</v>
      </c>
      <c r="L158" s="6" t="str">
        <f t="shared" ref="L158:L163" si="57">$L$156</f>
        <v>%</v>
      </c>
      <c r="M158" s="6">
        <f t="shared" si="51"/>
        <v>0</v>
      </c>
      <c r="N158" s="6">
        <f t="shared" ref="N158:N165" si="58">$N$144</f>
        <v>0</v>
      </c>
      <c r="O158" s="6">
        <f t="shared" ref="O158:O165" si="59">$O$144</f>
        <v>100</v>
      </c>
      <c r="P158" s="1">
        <v>0</v>
      </c>
      <c r="Q158" s="6">
        <f t="shared" si="52"/>
        <v>1</v>
      </c>
      <c r="R158" s="1" t="s">
        <v>40</v>
      </c>
      <c r="S158" s="1">
        <v>0</v>
      </c>
      <c r="T158" s="1">
        <v>1</v>
      </c>
      <c r="U158" s="1" t="s">
        <v>40</v>
      </c>
      <c r="V158" s="1">
        <v>0</v>
      </c>
      <c r="W158" s="1">
        <v>1</v>
      </c>
      <c r="X158" s="1" t="s">
        <v>40</v>
      </c>
      <c r="Y158" s="1">
        <v>0</v>
      </c>
      <c r="Z158" s="1">
        <v>1</v>
      </c>
      <c r="AA158" s="1" t="s">
        <v>40</v>
      </c>
      <c r="AB158" s="1">
        <v>0</v>
      </c>
      <c r="AC158" s="1">
        <v>1</v>
      </c>
      <c r="AD158" s="1" t="s">
        <v>40</v>
      </c>
      <c r="AE158" s="1">
        <v>0</v>
      </c>
      <c r="AF158" s="1">
        <v>1</v>
      </c>
      <c r="AG158" s="1" t="s">
        <v>40</v>
      </c>
      <c r="AH158" s="1">
        <v>0</v>
      </c>
      <c r="AI158" s="1">
        <v>1</v>
      </c>
      <c r="AJ158" s="1">
        <v>0</v>
      </c>
      <c r="AK158" s="1" t="s">
        <v>40</v>
      </c>
      <c r="AL158" s="1">
        <v>0</v>
      </c>
      <c r="AM158" s="1">
        <v>1</v>
      </c>
      <c r="AN158" s="1" t="s">
        <v>98</v>
      </c>
      <c r="AO158" s="6">
        <f t="shared" si="53"/>
        <v>0</v>
      </c>
      <c r="AP158" s="6">
        <f t="shared" si="54"/>
        <v>100</v>
      </c>
      <c r="AQ158" s="1" t="s">
        <v>106</v>
      </c>
      <c r="AR158" s="6" t="str">
        <f t="shared" si="45"/>
        <v>BXX</v>
      </c>
      <c r="AS158" s="1" t="s">
        <v>1</v>
      </c>
      <c r="AT158" s="6" t="str">
        <f>$A$6&amp;".AI_NP"</f>
        <v>BXX_DEV1_SK1.AI_NP</v>
      </c>
      <c r="AU158" s="1" t="s">
        <v>1</v>
      </c>
      <c r="AV158" s="6" t="str">
        <f t="shared" si="55"/>
        <v>Sample Motor Stroke Max Value Today</v>
      </c>
      <c r="AW158" s="1">
        <v>0</v>
      </c>
      <c r="AX158" s="1">
        <v>0</v>
      </c>
      <c r="AY158" s="1">
        <v>0</v>
      </c>
      <c r="AZ158" s="1">
        <v>0</v>
      </c>
      <c r="BA158" s="1">
        <v>0</v>
      </c>
      <c r="BB158" s="1">
        <v>0</v>
      </c>
      <c r="BC158" s="1">
        <v>0</v>
      </c>
      <c r="BD158" s="1">
        <v>0</v>
      </c>
    </row>
    <row r="159" spans="1:56" s="1" customFormat="1" x14ac:dyDescent="0.25">
      <c r="A159" s="3" t="str">
        <f>$A$6&amp;"_"&amp;"AI_XD"</f>
        <v>BXX_DEV1_SK1_AI_XD</v>
      </c>
      <c r="B159" s="6" t="str">
        <f t="shared" si="56"/>
        <v>BXX_DEV1_SK1</v>
      </c>
      <c r="C159" s="6" t="str">
        <f>$C$6 &amp; " Min Value Yesterday"</f>
        <v>Sample Motor Stroke Min Value Yesterday</v>
      </c>
      <c r="D159" s="4">
        <f t="shared" si="29"/>
        <v>39</v>
      </c>
      <c r="E159" s="1" t="s">
        <v>1</v>
      </c>
      <c r="F159" s="1" t="s">
        <v>1</v>
      </c>
      <c r="G159" s="1">
        <v>0</v>
      </c>
      <c r="H159" s="1" t="s">
        <v>0</v>
      </c>
      <c r="I159" s="1" t="s">
        <v>1</v>
      </c>
      <c r="J159" s="1">
        <v>0</v>
      </c>
      <c r="K159" s="1">
        <v>0</v>
      </c>
      <c r="L159" s="6" t="str">
        <f t="shared" si="57"/>
        <v>%</v>
      </c>
      <c r="M159" s="6">
        <f t="shared" si="51"/>
        <v>0</v>
      </c>
      <c r="N159" s="6">
        <f t="shared" si="58"/>
        <v>0</v>
      </c>
      <c r="O159" s="6">
        <f t="shared" si="59"/>
        <v>100</v>
      </c>
      <c r="P159" s="1">
        <v>0</v>
      </c>
      <c r="Q159" s="1">
        <v>0</v>
      </c>
      <c r="R159" s="1" t="s">
        <v>40</v>
      </c>
      <c r="S159" s="1">
        <v>0</v>
      </c>
      <c r="T159" s="1">
        <v>1</v>
      </c>
      <c r="U159" s="1" t="s">
        <v>40</v>
      </c>
      <c r="V159" s="1">
        <v>0</v>
      </c>
      <c r="W159" s="1">
        <v>1</v>
      </c>
      <c r="X159" s="1" t="s">
        <v>40</v>
      </c>
      <c r="Y159" s="1">
        <v>0</v>
      </c>
      <c r="Z159" s="1">
        <v>1</v>
      </c>
      <c r="AA159" s="1" t="s">
        <v>40</v>
      </c>
      <c r="AB159" s="1">
        <v>0</v>
      </c>
      <c r="AC159" s="1">
        <v>1</v>
      </c>
      <c r="AD159" s="1" t="s">
        <v>40</v>
      </c>
      <c r="AE159" s="1">
        <v>0</v>
      </c>
      <c r="AF159" s="1">
        <v>1</v>
      </c>
      <c r="AG159" s="1" t="s">
        <v>40</v>
      </c>
      <c r="AH159" s="1">
        <v>0</v>
      </c>
      <c r="AI159" s="1">
        <v>1</v>
      </c>
      <c r="AJ159" s="1">
        <v>0</v>
      </c>
      <c r="AK159" s="1" t="s">
        <v>40</v>
      </c>
      <c r="AL159" s="1">
        <v>0</v>
      </c>
      <c r="AM159" s="1">
        <v>1</v>
      </c>
      <c r="AN159" s="1" t="s">
        <v>98</v>
      </c>
      <c r="AO159" s="6">
        <f t="shared" si="53"/>
        <v>0</v>
      </c>
      <c r="AP159" s="6">
        <f t="shared" si="54"/>
        <v>100</v>
      </c>
      <c r="AQ159" s="1" t="s">
        <v>106</v>
      </c>
      <c r="AR159" s="6" t="str">
        <f t="shared" si="45"/>
        <v>BXX</v>
      </c>
      <c r="AS159" s="1" t="s">
        <v>1</v>
      </c>
      <c r="AT159" s="6" t="str">
        <f>$A$6&amp;".AI_XD"</f>
        <v>BXX_DEV1_SK1.AI_XD</v>
      </c>
      <c r="AU159" s="1" t="s">
        <v>1</v>
      </c>
      <c r="AV159" s="6" t="str">
        <f t="shared" si="55"/>
        <v>Sample Motor Stroke Min Value Yesterday</v>
      </c>
      <c r="AW159" s="1">
        <v>0</v>
      </c>
      <c r="AX159" s="1">
        <v>0</v>
      </c>
      <c r="AY159" s="1">
        <v>0</v>
      </c>
      <c r="AZ159" s="1">
        <v>0</v>
      </c>
      <c r="BA159" s="1">
        <v>0</v>
      </c>
      <c r="BB159" s="1">
        <v>0</v>
      </c>
      <c r="BC159" s="1">
        <v>0</v>
      </c>
      <c r="BD159" s="1">
        <v>0</v>
      </c>
    </row>
    <row r="160" spans="1:56" s="1" customFormat="1" x14ac:dyDescent="0.25">
      <c r="A160" s="3" t="str">
        <f>$A$6&amp;"_"&amp;"AI_XP"</f>
        <v>BXX_DEV1_SK1_AI_XP</v>
      </c>
      <c r="B160" s="6" t="str">
        <f t="shared" si="56"/>
        <v>BXX_DEV1_SK1</v>
      </c>
      <c r="C160" s="6" t="str">
        <f>$C$6 &amp; " Max Value Yesterday"</f>
        <v>Sample Motor Stroke Max Value Yesterday</v>
      </c>
      <c r="D160" s="4">
        <f t="shared" si="29"/>
        <v>39</v>
      </c>
      <c r="E160" s="1" t="s">
        <v>1</v>
      </c>
      <c r="F160" s="1" t="s">
        <v>1</v>
      </c>
      <c r="G160" s="1">
        <v>0</v>
      </c>
      <c r="H160" s="1" t="s">
        <v>0</v>
      </c>
      <c r="I160" s="1" t="s">
        <v>1</v>
      </c>
      <c r="J160" s="1">
        <v>0</v>
      </c>
      <c r="K160" s="1">
        <v>0</v>
      </c>
      <c r="L160" s="6" t="str">
        <f t="shared" si="57"/>
        <v>%</v>
      </c>
      <c r="M160" s="6">
        <f t="shared" si="51"/>
        <v>0</v>
      </c>
      <c r="N160" s="6">
        <f t="shared" si="58"/>
        <v>0</v>
      </c>
      <c r="O160" s="6">
        <f t="shared" si="59"/>
        <v>100</v>
      </c>
      <c r="P160" s="1">
        <v>0</v>
      </c>
      <c r="Q160" s="1">
        <v>0</v>
      </c>
      <c r="R160" s="1" t="s">
        <v>40</v>
      </c>
      <c r="S160" s="1">
        <v>0</v>
      </c>
      <c r="T160" s="1">
        <v>1</v>
      </c>
      <c r="U160" s="1" t="s">
        <v>40</v>
      </c>
      <c r="V160" s="1">
        <v>0</v>
      </c>
      <c r="W160" s="1">
        <v>1</v>
      </c>
      <c r="X160" s="1" t="s">
        <v>40</v>
      </c>
      <c r="Y160" s="1">
        <v>0</v>
      </c>
      <c r="Z160" s="1">
        <v>1</v>
      </c>
      <c r="AA160" s="1" t="s">
        <v>40</v>
      </c>
      <c r="AB160" s="1">
        <v>0</v>
      </c>
      <c r="AC160" s="1">
        <v>1</v>
      </c>
      <c r="AD160" s="1" t="s">
        <v>40</v>
      </c>
      <c r="AE160" s="1">
        <v>0</v>
      </c>
      <c r="AF160" s="1">
        <v>1</v>
      </c>
      <c r="AG160" s="1" t="s">
        <v>40</v>
      </c>
      <c r="AH160" s="1">
        <v>0</v>
      </c>
      <c r="AI160" s="1">
        <v>1</v>
      </c>
      <c r="AJ160" s="1">
        <v>0</v>
      </c>
      <c r="AK160" s="1" t="s">
        <v>40</v>
      </c>
      <c r="AL160" s="1">
        <v>0</v>
      </c>
      <c r="AM160" s="1">
        <v>1</v>
      </c>
      <c r="AN160" s="1" t="s">
        <v>98</v>
      </c>
      <c r="AO160" s="6">
        <f t="shared" si="53"/>
        <v>0</v>
      </c>
      <c r="AP160" s="6">
        <f t="shared" si="54"/>
        <v>100</v>
      </c>
      <c r="AQ160" s="1" t="s">
        <v>106</v>
      </c>
      <c r="AR160" s="6" t="str">
        <f t="shared" si="45"/>
        <v>BXX</v>
      </c>
      <c r="AS160" s="1" t="s">
        <v>1</v>
      </c>
      <c r="AT160" s="6" t="str">
        <f>$A$6&amp;".AI_XP"</f>
        <v>BXX_DEV1_SK1.AI_XP</v>
      </c>
      <c r="AU160" s="1" t="s">
        <v>1</v>
      </c>
      <c r="AV160" s="6" t="str">
        <f t="shared" si="55"/>
        <v>Sample Motor Stroke Max Value Yesterday</v>
      </c>
      <c r="AW160" s="1">
        <v>0</v>
      </c>
      <c r="AX160" s="1">
        <v>0</v>
      </c>
      <c r="AY160" s="1">
        <v>0</v>
      </c>
      <c r="AZ160" s="1">
        <v>0</v>
      </c>
      <c r="BA160" s="1">
        <v>0</v>
      </c>
      <c r="BB160" s="1">
        <v>0</v>
      </c>
      <c r="BC160" s="1">
        <v>0</v>
      </c>
      <c r="BD160" s="1">
        <v>0</v>
      </c>
    </row>
    <row r="161" spans="1:56" x14ac:dyDescent="0.25">
      <c r="A161" s="3" t="str">
        <f>$A$6&amp;"_"&amp;"AO_XM"</f>
        <v>BXX_DEV1_SK1_AO_XM</v>
      </c>
      <c r="B161" s="6" t="str">
        <f t="shared" si="56"/>
        <v>BXX_DEV1_SK1</v>
      </c>
      <c r="C161" s="6" t="str">
        <f>$C$6 &amp; " Span Setpoint"</f>
        <v>Sample Motor Stroke Span Setpoint</v>
      </c>
      <c r="D161" s="4">
        <f t="shared" si="29"/>
        <v>33</v>
      </c>
      <c r="E161" t="s">
        <v>1</v>
      </c>
      <c r="F161" t="s">
        <v>1</v>
      </c>
      <c r="G161">
        <v>0</v>
      </c>
      <c r="H161" t="s">
        <v>0</v>
      </c>
      <c r="I161" t="s">
        <v>1</v>
      </c>
      <c r="J161">
        <v>0</v>
      </c>
      <c r="K161">
        <v>0</v>
      </c>
      <c r="L161" s="6" t="str">
        <f t="shared" si="57"/>
        <v>%</v>
      </c>
      <c r="M161" s="6">
        <f t="shared" si="51"/>
        <v>0</v>
      </c>
      <c r="N161" s="6">
        <f t="shared" si="58"/>
        <v>0</v>
      </c>
      <c r="O161" s="6">
        <f t="shared" si="59"/>
        <v>100</v>
      </c>
      <c r="P161">
        <v>0</v>
      </c>
      <c r="Q161">
        <v>0</v>
      </c>
      <c r="R161" t="s">
        <v>40</v>
      </c>
      <c r="S161">
        <v>0</v>
      </c>
      <c r="T161">
        <v>1</v>
      </c>
      <c r="U161" t="s">
        <v>40</v>
      </c>
      <c r="V161">
        <v>0</v>
      </c>
      <c r="W161">
        <v>1</v>
      </c>
      <c r="X161" t="s">
        <v>40</v>
      </c>
      <c r="Y161">
        <v>0</v>
      </c>
      <c r="Z161">
        <v>1</v>
      </c>
      <c r="AA161" t="s">
        <v>40</v>
      </c>
      <c r="AB161">
        <v>0</v>
      </c>
      <c r="AC161">
        <v>1</v>
      </c>
      <c r="AD161" t="s">
        <v>40</v>
      </c>
      <c r="AE161">
        <v>0</v>
      </c>
      <c r="AF161">
        <v>1</v>
      </c>
      <c r="AG161" t="s">
        <v>40</v>
      </c>
      <c r="AH161">
        <v>0</v>
      </c>
      <c r="AI161">
        <v>1</v>
      </c>
      <c r="AJ161">
        <v>0</v>
      </c>
      <c r="AK161" t="s">
        <v>40</v>
      </c>
      <c r="AL161">
        <v>0</v>
      </c>
      <c r="AM161">
        <v>1</v>
      </c>
      <c r="AN161" t="s">
        <v>98</v>
      </c>
      <c r="AO161" s="6">
        <f t="shared" si="53"/>
        <v>0</v>
      </c>
      <c r="AP161" s="6">
        <f t="shared" si="54"/>
        <v>100</v>
      </c>
      <c r="AQ161" t="s">
        <v>106</v>
      </c>
      <c r="AR161" s="6" t="str">
        <f t="shared" si="45"/>
        <v>BXX</v>
      </c>
      <c r="AS161" t="s">
        <v>1</v>
      </c>
      <c r="AT161" s="6" t="str">
        <f>$A$6&amp;".AO_XM"</f>
        <v>BXX_DEV1_SK1.AO_XM</v>
      </c>
      <c r="AU161" t="s">
        <v>1</v>
      </c>
      <c r="AV161" s="6" t="str">
        <f t="shared" si="55"/>
        <v>Sample Motor Stroke Span Setpoint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</row>
    <row r="162" spans="1:56" x14ac:dyDescent="0.25">
      <c r="A162" s="3" t="str">
        <f>$A$6&amp;"_"&amp;"AO_EM"</f>
        <v>BXX_DEV1_SK1_AO_EM</v>
      </c>
      <c r="B162" s="6" t="str">
        <f t="shared" si="56"/>
        <v>BXX_DEV1_SK1</v>
      </c>
      <c r="C162" s="6" t="str">
        <f>$C$6 &amp; " Zero Setpoint"</f>
        <v>Sample Motor Stroke Zero Setpoint</v>
      </c>
      <c r="D162" s="4">
        <f t="shared" si="29"/>
        <v>33</v>
      </c>
      <c r="E162" t="s">
        <v>1</v>
      </c>
      <c r="F162" t="s">
        <v>1</v>
      </c>
      <c r="G162">
        <v>0</v>
      </c>
      <c r="H162" t="s">
        <v>0</v>
      </c>
      <c r="I162" t="s">
        <v>1</v>
      </c>
      <c r="J162">
        <v>0</v>
      </c>
      <c r="K162">
        <v>0</v>
      </c>
      <c r="L162" s="6" t="str">
        <f t="shared" si="57"/>
        <v>%</v>
      </c>
      <c r="M162" s="6">
        <f t="shared" si="51"/>
        <v>0</v>
      </c>
      <c r="N162" s="6">
        <f t="shared" si="58"/>
        <v>0</v>
      </c>
      <c r="O162" s="6">
        <f t="shared" si="59"/>
        <v>100</v>
      </c>
      <c r="P162">
        <v>0</v>
      </c>
      <c r="Q162">
        <v>0</v>
      </c>
      <c r="R162" t="s">
        <v>40</v>
      </c>
      <c r="S162">
        <v>0</v>
      </c>
      <c r="T162">
        <v>1</v>
      </c>
      <c r="U162" t="s">
        <v>40</v>
      </c>
      <c r="V162">
        <v>0</v>
      </c>
      <c r="W162">
        <v>1</v>
      </c>
      <c r="X162" t="s">
        <v>40</v>
      </c>
      <c r="Y162">
        <v>0</v>
      </c>
      <c r="Z162">
        <v>1</v>
      </c>
      <c r="AA162" t="s">
        <v>40</v>
      </c>
      <c r="AB162">
        <v>0</v>
      </c>
      <c r="AC162">
        <v>1</v>
      </c>
      <c r="AD162" t="s">
        <v>40</v>
      </c>
      <c r="AE162">
        <v>0</v>
      </c>
      <c r="AF162">
        <v>1</v>
      </c>
      <c r="AG162" t="s">
        <v>40</v>
      </c>
      <c r="AH162">
        <v>0</v>
      </c>
      <c r="AI162">
        <v>1</v>
      </c>
      <c r="AJ162">
        <v>0</v>
      </c>
      <c r="AK162" t="s">
        <v>40</v>
      </c>
      <c r="AL162">
        <v>0</v>
      </c>
      <c r="AM162">
        <v>1</v>
      </c>
      <c r="AN162" t="s">
        <v>98</v>
      </c>
      <c r="AO162" s="6">
        <f t="shared" si="53"/>
        <v>0</v>
      </c>
      <c r="AP162" s="6">
        <f t="shared" si="54"/>
        <v>100</v>
      </c>
      <c r="AQ162" t="s">
        <v>106</v>
      </c>
      <c r="AR162" s="6" t="str">
        <f t="shared" si="45"/>
        <v>BXX</v>
      </c>
      <c r="AS162" t="s">
        <v>1</v>
      </c>
      <c r="AT162" s="6" t="str">
        <f>$A$6&amp;".AO_EM"</f>
        <v>BXX_DEV1_SK1.AO_EM</v>
      </c>
      <c r="AU162" t="s">
        <v>1</v>
      </c>
      <c r="AV162" s="6" t="str">
        <f t="shared" si="55"/>
        <v>Sample Motor Stroke Zero Setpoint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</row>
    <row r="163" spans="1:56" x14ac:dyDescent="0.25">
      <c r="A163" s="3" t="str">
        <f>$A$6&amp;"_"&amp;"AO_SV"</f>
        <v>BXX_DEV1_SK1_AO_SV</v>
      </c>
      <c r="B163" s="6" t="str">
        <f t="shared" si="56"/>
        <v>BXX_DEV1_SK1</v>
      </c>
      <c r="C163" s="6" t="str">
        <f>$C$6 &amp; " Override Value"</f>
        <v>Sample Motor Stroke Override Value</v>
      </c>
      <c r="D163" s="4">
        <f t="shared" si="29"/>
        <v>34</v>
      </c>
      <c r="E163" t="s">
        <v>1</v>
      </c>
      <c r="F163" t="s">
        <v>0</v>
      </c>
      <c r="G163" s="2">
        <v>700</v>
      </c>
      <c r="H163" t="s">
        <v>0</v>
      </c>
      <c r="I163" t="s">
        <v>1</v>
      </c>
      <c r="J163">
        <v>0</v>
      </c>
      <c r="K163">
        <v>0</v>
      </c>
      <c r="L163" s="6" t="str">
        <f t="shared" si="57"/>
        <v>%</v>
      </c>
      <c r="M163" s="6">
        <f t="shared" si="51"/>
        <v>0</v>
      </c>
      <c r="N163" s="6">
        <f t="shared" si="58"/>
        <v>0</v>
      </c>
      <c r="O163" s="6">
        <f t="shared" si="59"/>
        <v>100</v>
      </c>
      <c r="P163">
        <v>0</v>
      </c>
      <c r="Q163">
        <v>0</v>
      </c>
      <c r="R163" t="s">
        <v>40</v>
      </c>
      <c r="S163">
        <v>0</v>
      </c>
      <c r="T163">
        <v>1</v>
      </c>
      <c r="U163" t="s">
        <v>40</v>
      </c>
      <c r="V163">
        <v>0</v>
      </c>
      <c r="W163">
        <v>1</v>
      </c>
      <c r="X163" t="s">
        <v>40</v>
      </c>
      <c r="Y163">
        <v>0</v>
      </c>
      <c r="Z163">
        <v>1</v>
      </c>
      <c r="AA163" t="s">
        <v>40</v>
      </c>
      <c r="AB163">
        <v>0</v>
      </c>
      <c r="AC163">
        <v>1</v>
      </c>
      <c r="AD163" t="s">
        <v>40</v>
      </c>
      <c r="AE163">
        <v>0</v>
      </c>
      <c r="AF163">
        <v>1</v>
      </c>
      <c r="AG163" t="s">
        <v>40</v>
      </c>
      <c r="AH163">
        <v>0</v>
      </c>
      <c r="AI163">
        <v>1</v>
      </c>
      <c r="AJ163">
        <v>0</v>
      </c>
      <c r="AK163" t="s">
        <v>40</v>
      </c>
      <c r="AL163">
        <v>0</v>
      </c>
      <c r="AM163">
        <v>1</v>
      </c>
      <c r="AN163" t="s">
        <v>98</v>
      </c>
      <c r="AO163" s="6">
        <f t="shared" si="53"/>
        <v>0</v>
      </c>
      <c r="AP163" s="6">
        <f t="shared" si="54"/>
        <v>100</v>
      </c>
      <c r="AQ163" t="s">
        <v>106</v>
      </c>
      <c r="AR163" s="6" t="str">
        <f t="shared" si="45"/>
        <v>BXX</v>
      </c>
      <c r="AS163" t="s">
        <v>1</v>
      </c>
      <c r="AT163" s="6" t="str">
        <f>$A$6&amp;".AO_SV"</f>
        <v>BXX_DEV1_SK1.AO_SV</v>
      </c>
      <c r="AU163" t="s">
        <v>1</v>
      </c>
      <c r="AV163" s="6" t="str">
        <f t="shared" si="55"/>
        <v>Sample Motor Stroke Override Value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</row>
    <row r="164" spans="1:56" x14ac:dyDescent="0.25">
      <c r="A164" s="3" t="str">
        <f>$A$6&amp;"_"&amp;"SN_ZA"</f>
        <v>BXX_DEV1_SK1_SN_ZA</v>
      </c>
      <c r="B164" s="6" t="str">
        <f t="shared" si="56"/>
        <v>BXX_DEV1_SK1</v>
      </c>
      <c r="C164" s="6" t="str">
        <f>$C$6 &amp; " Deviation Alarm Delay"</f>
        <v>Sample Motor Stroke Deviation Alarm Delay</v>
      </c>
      <c r="D164" s="4">
        <f t="shared" si="29"/>
        <v>41</v>
      </c>
      <c r="E164" t="s">
        <v>1</v>
      </c>
      <c r="F164" t="s">
        <v>0</v>
      </c>
      <c r="G164" s="2">
        <v>600</v>
      </c>
      <c r="H164" t="s">
        <v>0</v>
      </c>
      <c r="I164" t="s">
        <v>1</v>
      </c>
      <c r="J164">
        <v>0</v>
      </c>
      <c r="K164">
        <v>0</v>
      </c>
      <c r="L164" t="s">
        <v>109</v>
      </c>
      <c r="M164" s="6">
        <f t="shared" si="51"/>
        <v>0</v>
      </c>
      <c r="N164">
        <v>0</v>
      </c>
      <c r="O164">
        <v>999</v>
      </c>
      <c r="P164">
        <v>0</v>
      </c>
      <c r="Q164">
        <v>0</v>
      </c>
      <c r="R164" t="s">
        <v>40</v>
      </c>
      <c r="S164">
        <v>0</v>
      </c>
      <c r="T164">
        <v>1</v>
      </c>
      <c r="U164" t="s">
        <v>40</v>
      </c>
      <c r="V164">
        <v>0</v>
      </c>
      <c r="W164">
        <v>1</v>
      </c>
      <c r="X164" t="s">
        <v>40</v>
      </c>
      <c r="Y164">
        <v>0</v>
      </c>
      <c r="Z164">
        <v>1</v>
      </c>
      <c r="AA164" t="s">
        <v>40</v>
      </c>
      <c r="AB164">
        <v>0</v>
      </c>
      <c r="AC164">
        <v>1</v>
      </c>
      <c r="AD164" t="s">
        <v>40</v>
      </c>
      <c r="AE164">
        <v>0</v>
      </c>
      <c r="AF164">
        <v>1</v>
      </c>
      <c r="AG164" t="s">
        <v>40</v>
      </c>
      <c r="AH164">
        <v>0</v>
      </c>
      <c r="AI164">
        <v>1</v>
      </c>
      <c r="AJ164">
        <v>0</v>
      </c>
      <c r="AK164" t="s">
        <v>40</v>
      </c>
      <c r="AL164">
        <v>0</v>
      </c>
      <c r="AM164">
        <v>1</v>
      </c>
      <c r="AN164" t="s">
        <v>98</v>
      </c>
      <c r="AO164" s="6">
        <f t="shared" si="53"/>
        <v>0</v>
      </c>
      <c r="AP164" s="6">
        <f t="shared" si="54"/>
        <v>999</v>
      </c>
      <c r="AQ164" t="s">
        <v>106</v>
      </c>
      <c r="AR164" s="6" t="str">
        <f t="shared" si="45"/>
        <v>BXX</v>
      </c>
      <c r="AS164" t="s">
        <v>1</v>
      </c>
      <c r="AT164" s="6" t="str">
        <f>$A$6&amp;".SN_LO"</f>
        <v>BXX_DEV1_SK1.SN_LO</v>
      </c>
      <c r="AU164" t="s">
        <v>1</v>
      </c>
      <c r="AV164" s="6" t="str">
        <f t="shared" si="55"/>
        <v>Sample Motor Stroke Deviation Alarm Delay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</row>
    <row r="165" spans="1:56" x14ac:dyDescent="0.25">
      <c r="A165" s="3" t="str">
        <f>$A$6&amp;"_"&amp;"AO_ZA"</f>
        <v>BXX_DEV1_SK1_AO_ZA</v>
      </c>
      <c r="B165" s="6" t="str">
        <f t="shared" si="56"/>
        <v>BXX_DEV1_SK1</v>
      </c>
      <c r="C165" s="6" t="str">
        <f>$C$6 &amp; " Deviation Setpoint"</f>
        <v>Sample Motor Stroke Deviation Setpoint</v>
      </c>
      <c r="D165" s="4">
        <f t="shared" si="29"/>
        <v>38</v>
      </c>
      <c r="E165" t="s">
        <v>1</v>
      </c>
      <c r="F165" t="s">
        <v>0</v>
      </c>
      <c r="G165" s="2">
        <v>600</v>
      </c>
      <c r="H165" t="s">
        <v>0</v>
      </c>
      <c r="I165" t="s">
        <v>1</v>
      </c>
      <c r="J165">
        <v>0</v>
      </c>
      <c r="K165">
        <v>0</v>
      </c>
      <c r="L165" s="6" t="str">
        <f t="shared" ref="L165" si="60">$L$50</f>
        <v>None</v>
      </c>
      <c r="M165" s="6">
        <f t="shared" si="51"/>
        <v>0</v>
      </c>
      <c r="N165" s="6">
        <f t="shared" si="58"/>
        <v>0</v>
      </c>
      <c r="O165" s="6">
        <f t="shared" si="59"/>
        <v>100</v>
      </c>
      <c r="P165">
        <v>0</v>
      </c>
      <c r="Q165">
        <v>0</v>
      </c>
      <c r="R165" t="s">
        <v>40</v>
      </c>
      <c r="S165">
        <v>0</v>
      </c>
      <c r="T165">
        <v>1</v>
      </c>
      <c r="U165" t="s">
        <v>40</v>
      </c>
      <c r="V165">
        <v>0</v>
      </c>
      <c r="W165">
        <v>1</v>
      </c>
      <c r="X165" t="s">
        <v>40</v>
      </c>
      <c r="Y165">
        <v>0</v>
      </c>
      <c r="Z165">
        <v>1</v>
      </c>
      <c r="AA165" t="s">
        <v>40</v>
      </c>
      <c r="AB165">
        <v>0</v>
      </c>
      <c r="AC165">
        <v>1</v>
      </c>
      <c r="AD165" t="s">
        <v>40</v>
      </c>
      <c r="AE165">
        <v>0</v>
      </c>
      <c r="AF165">
        <v>1</v>
      </c>
      <c r="AG165" t="s">
        <v>40</v>
      </c>
      <c r="AH165">
        <v>0</v>
      </c>
      <c r="AI165">
        <v>1</v>
      </c>
      <c r="AJ165">
        <v>0</v>
      </c>
      <c r="AK165" t="s">
        <v>40</v>
      </c>
      <c r="AL165">
        <v>0</v>
      </c>
      <c r="AM165">
        <v>1</v>
      </c>
      <c r="AN165" t="s">
        <v>98</v>
      </c>
      <c r="AO165" s="6">
        <f t="shared" si="53"/>
        <v>0</v>
      </c>
      <c r="AP165" s="6">
        <f t="shared" si="54"/>
        <v>100</v>
      </c>
      <c r="AQ165" t="s">
        <v>106</v>
      </c>
      <c r="AR165" s="6" t="str">
        <f t="shared" si="45"/>
        <v>BXX</v>
      </c>
      <c r="AS165" t="s">
        <v>1</v>
      </c>
      <c r="AT165" s="6" t="str">
        <f>$A$6&amp;".AO_LL"</f>
        <v>BXX_DEV1_SK1.AO_LL</v>
      </c>
      <c r="AU165" t="s">
        <v>1</v>
      </c>
      <c r="AV165" s="6" t="str">
        <f t="shared" si="55"/>
        <v>Sample Motor Stroke Deviation Setpoint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</row>
    <row r="166" spans="1:56" x14ac:dyDescent="0.25">
      <c r="A166" s="3" t="str">
        <f>$A$6&amp;"_"&amp;"E3_CV"</f>
        <v>BXX_DEV1_SK1_E3_CV</v>
      </c>
      <c r="B166" s="6" t="str">
        <f t="shared" si="56"/>
        <v>BXX_DEV1_SK1</v>
      </c>
      <c r="C166" s="6" t="str">
        <f>$C$6 &amp; " Units 3"</f>
        <v>Sample Motor Stroke Units 3</v>
      </c>
      <c r="D166" s="4">
        <f t="shared" si="29"/>
        <v>27</v>
      </c>
      <c r="E166" t="s">
        <v>1</v>
      </c>
      <c r="F166" t="s">
        <v>1</v>
      </c>
      <c r="G166">
        <v>0</v>
      </c>
      <c r="H166" t="s">
        <v>0</v>
      </c>
      <c r="I166" t="s">
        <v>1</v>
      </c>
      <c r="J166">
        <v>0</v>
      </c>
      <c r="K166">
        <v>0</v>
      </c>
      <c r="L166" s="2" t="s">
        <v>108</v>
      </c>
      <c r="M166" s="6">
        <f t="shared" si="51"/>
        <v>4</v>
      </c>
      <c r="N166" s="2">
        <v>4</v>
      </c>
      <c r="O166" s="2">
        <v>20</v>
      </c>
      <c r="P166">
        <v>0</v>
      </c>
      <c r="Q166">
        <v>0</v>
      </c>
      <c r="R166" t="s">
        <v>40</v>
      </c>
      <c r="S166">
        <v>0</v>
      </c>
      <c r="T166">
        <v>1</v>
      </c>
      <c r="U166" t="s">
        <v>40</v>
      </c>
      <c r="V166">
        <v>0</v>
      </c>
      <c r="W166">
        <v>1</v>
      </c>
      <c r="X166" t="s">
        <v>40</v>
      </c>
      <c r="Y166">
        <v>0</v>
      </c>
      <c r="Z166">
        <v>1</v>
      </c>
      <c r="AA166" t="s">
        <v>40</v>
      </c>
      <c r="AB166">
        <v>0</v>
      </c>
      <c r="AC166">
        <v>1</v>
      </c>
      <c r="AD166" t="s">
        <v>40</v>
      </c>
      <c r="AE166">
        <v>0</v>
      </c>
      <c r="AF166">
        <v>1</v>
      </c>
      <c r="AG166" t="s">
        <v>40</v>
      </c>
      <c r="AH166">
        <v>0</v>
      </c>
      <c r="AI166">
        <v>1</v>
      </c>
      <c r="AJ166">
        <v>0</v>
      </c>
      <c r="AK166" t="s">
        <v>40</v>
      </c>
      <c r="AL166">
        <v>0</v>
      </c>
      <c r="AM166">
        <v>1</v>
      </c>
      <c r="AN166" t="s">
        <v>98</v>
      </c>
      <c r="AO166" s="6">
        <f t="shared" si="53"/>
        <v>4</v>
      </c>
      <c r="AP166" s="6">
        <f t="shared" si="54"/>
        <v>20</v>
      </c>
      <c r="AQ166" t="s">
        <v>106</v>
      </c>
      <c r="AR166" s="6" t="str">
        <f t="shared" si="45"/>
        <v>BXX</v>
      </c>
      <c r="AS166" t="s">
        <v>1</v>
      </c>
      <c r="AT166" s="6" t="str">
        <f>$A$6&amp;".E3_CV"</f>
        <v>BXX_DEV1_SK1.E3_CV</v>
      </c>
      <c r="AU166" t="s">
        <v>1</v>
      </c>
      <c r="AV166" s="6" t="str">
        <f t="shared" si="55"/>
        <v>Sample Motor Stroke Units 3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</row>
    <row r="167" spans="1:56" x14ac:dyDescent="0.25">
      <c r="A167" s="3" t="str">
        <f>$A$6&amp;"_"&amp;"E2_CV"</f>
        <v>BXX_DEV1_SK1_E2_CV</v>
      </c>
      <c r="B167" s="6" t="str">
        <f t="shared" si="56"/>
        <v>BXX_DEV1_SK1</v>
      </c>
      <c r="C167" s="6" t="str">
        <f>$C$6 &amp; " Units 2"</f>
        <v>Sample Motor Stroke Units 2</v>
      </c>
      <c r="D167" s="4">
        <f t="shared" si="29"/>
        <v>27</v>
      </c>
      <c r="E167" t="s">
        <v>1</v>
      </c>
      <c r="F167" t="s">
        <v>1</v>
      </c>
      <c r="G167">
        <v>0</v>
      </c>
      <c r="H167" t="s">
        <v>0</v>
      </c>
      <c r="I167" t="s">
        <v>1</v>
      </c>
      <c r="J167">
        <v>0</v>
      </c>
      <c r="K167">
        <v>0</v>
      </c>
      <c r="L167" s="2" t="s">
        <v>99</v>
      </c>
      <c r="M167" s="6">
        <f t="shared" si="51"/>
        <v>0</v>
      </c>
      <c r="N167" s="2">
        <v>0</v>
      </c>
      <c r="O167" s="2">
        <v>100</v>
      </c>
      <c r="P167">
        <v>0</v>
      </c>
      <c r="Q167">
        <v>0</v>
      </c>
      <c r="R167" t="s">
        <v>40</v>
      </c>
      <c r="S167">
        <v>0</v>
      </c>
      <c r="T167">
        <v>1</v>
      </c>
      <c r="U167" t="s">
        <v>40</v>
      </c>
      <c r="V167">
        <v>0</v>
      </c>
      <c r="W167">
        <v>1</v>
      </c>
      <c r="X167" t="s">
        <v>40</v>
      </c>
      <c r="Y167">
        <v>0</v>
      </c>
      <c r="Z167">
        <v>1</v>
      </c>
      <c r="AA167" t="s">
        <v>40</v>
      </c>
      <c r="AB167">
        <v>0</v>
      </c>
      <c r="AC167">
        <v>1</v>
      </c>
      <c r="AD167" t="s">
        <v>40</v>
      </c>
      <c r="AE167">
        <v>0</v>
      </c>
      <c r="AF167">
        <v>1</v>
      </c>
      <c r="AG167" t="s">
        <v>40</v>
      </c>
      <c r="AH167">
        <v>0</v>
      </c>
      <c r="AI167">
        <v>1</v>
      </c>
      <c r="AJ167">
        <v>0</v>
      </c>
      <c r="AK167" t="s">
        <v>40</v>
      </c>
      <c r="AL167">
        <v>0</v>
      </c>
      <c r="AM167">
        <v>1</v>
      </c>
      <c r="AN167" t="s">
        <v>98</v>
      </c>
      <c r="AO167" s="6">
        <f t="shared" si="53"/>
        <v>0</v>
      </c>
      <c r="AP167" s="6">
        <f t="shared" si="54"/>
        <v>100</v>
      </c>
      <c r="AQ167" t="s">
        <v>106</v>
      </c>
      <c r="AR167" s="6" t="str">
        <f t="shared" si="45"/>
        <v>BXX</v>
      </c>
      <c r="AS167" t="s">
        <v>1</v>
      </c>
      <c r="AT167" s="6" t="str">
        <f>$A$6&amp;".E2_CV"</f>
        <v>BXX_DEV1_SK1.E2_CV</v>
      </c>
      <c r="AU167" t="s">
        <v>1</v>
      </c>
      <c r="AV167" s="6" t="str">
        <f t="shared" si="55"/>
        <v>Sample Motor Stroke Units 2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</row>
    <row r="168" spans="1:56" x14ac:dyDescent="0.25">
      <c r="A168" s="1" t="s">
        <v>112</v>
      </c>
      <c r="B168" t="s">
        <v>4</v>
      </c>
      <c r="C168" t="s">
        <v>5</v>
      </c>
      <c r="D168" s="4">
        <f t="shared" si="29"/>
        <v>7</v>
      </c>
      <c r="E168" t="s">
        <v>30</v>
      </c>
      <c r="F168" t="s">
        <v>6</v>
      </c>
      <c r="G168" t="s">
        <v>7</v>
      </c>
      <c r="H168" t="s">
        <v>31</v>
      </c>
      <c r="I168" t="s">
        <v>113</v>
      </c>
      <c r="J168" t="s">
        <v>114</v>
      </c>
      <c r="K168" t="s">
        <v>37</v>
      </c>
      <c r="L168" t="s">
        <v>39</v>
      </c>
    </row>
    <row r="169" spans="1:56" x14ac:dyDescent="0.25">
      <c r="A169" s="6" t="str">
        <f>$A$3&amp;"_"&amp;"DI_NM"</f>
        <v>BXX_DEV1_DM1_DI_NM</v>
      </c>
      <c r="B169" s="6" t="str">
        <f>$A$3</f>
        <v>BXX_DEV1_DM1</v>
      </c>
      <c r="C169" s="6" t="str">
        <f>$A$3</f>
        <v>BXX_DEV1_DM1</v>
      </c>
      <c r="D169" s="4">
        <f t="shared" si="29"/>
        <v>12</v>
      </c>
      <c r="E169" t="s">
        <v>1</v>
      </c>
      <c r="F169" t="s">
        <v>1</v>
      </c>
      <c r="G169">
        <v>0</v>
      </c>
      <c r="H169" t="s">
        <v>0</v>
      </c>
      <c r="I169">
        <v>24</v>
      </c>
      <c r="J169" s="6" t="str">
        <f>$A$3</f>
        <v>BXX_DEV1_DM1</v>
      </c>
      <c r="K169" s="6" t="str">
        <f>$A$3</f>
        <v>BXX_DEV1_DM1</v>
      </c>
    </row>
    <row r="170" spans="1:56" x14ac:dyDescent="0.25">
      <c r="A170" s="3" t="str">
        <f>$A$5&amp;"_"&amp;"DI_NM"</f>
        <v>BXX_DEV1_SI1_DI_NM</v>
      </c>
      <c r="B170" s="6" t="str">
        <f>$A$5</f>
        <v>BXX_DEV1_SI1</v>
      </c>
      <c r="C170" s="6" t="str">
        <f>$A$5</f>
        <v>BXX_DEV1_SI1</v>
      </c>
      <c r="D170" s="4">
        <f t="shared" si="29"/>
        <v>12</v>
      </c>
      <c r="E170" t="s">
        <v>1</v>
      </c>
      <c r="F170" t="s">
        <v>1</v>
      </c>
      <c r="G170">
        <v>0</v>
      </c>
      <c r="H170" t="s">
        <v>0</v>
      </c>
      <c r="I170">
        <v>24</v>
      </c>
      <c r="J170" s="6" t="str">
        <f>C170</f>
        <v>BXX_DEV1_SI1</v>
      </c>
      <c r="K170" s="6" t="str">
        <f>C170</f>
        <v>BXX_DEV1_SI1</v>
      </c>
    </row>
    <row r="171" spans="1:56" x14ac:dyDescent="0.25">
      <c r="A171" s="3" t="str">
        <f>$A$6&amp;"_"&amp;"DI_NM"</f>
        <v>BXX_DEV1_SK1_DI_NM</v>
      </c>
      <c r="B171" s="6" t="str">
        <f>$A$6</f>
        <v>BXX_DEV1_SK1</v>
      </c>
      <c r="C171" s="6" t="str">
        <f>$A$6</f>
        <v>BXX_DEV1_SK1</v>
      </c>
      <c r="D171" s="4">
        <f t="shared" si="29"/>
        <v>12</v>
      </c>
      <c r="E171" t="s">
        <v>1</v>
      </c>
      <c r="F171" t="s">
        <v>1</v>
      </c>
      <c r="G171">
        <v>0</v>
      </c>
      <c r="H171" t="s">
        <v>0</v>
      </c>
      <c r="I171">
        <v>24</v>
      </c>
      <c r="J171" s="6" t="str">
        <f>C171</f>
        <v>BXX_DEV1_SK1</v>
      </c>
      <c r="K171" s="6" t="str">
        <f>C171</f>
        <v>BXX_DEV1_SK1</v>
      </c>
    </row>
    <row r="172" spans="1:56" s="114" customFormat="1" x14ac:dyDescent="0.25">
      <c r="A172" s="116" t="s">
        <v>599</v>
      </c>
      <c r="B172" s="116" t="s">
        <v>144</v>
      </c>
      <c r="C172" s="116" t="s">
        <v>285</v>
      </c>
      <c r="D172" s="4">
        <f t="shared" ref="D172:D235" si="61">LEN(C172)</f>
        <v>20</v>
      </c>
      <c r="E172" s="117" t="s">
        <v>1</v>
      </c>
      <c r="F172" s="117" t="s">
        <v>1</v>
      </c>
      <c r="G172" s="117">
        <v>0</v>
      </c>
      <c r="H172" s="117" t="s">
        <v>0</v>
      </c>
      <c r="I172" s="117">
        <v>131</v>
      </c>
      <c r="J172" s="117"/>
      <c r="K172" s="117"/>
      <c r="L172" s="117"/>
    </row>
    <row r="173" spans="1:56" s="119" customFormat="1" x14ac:dyDescent="0.25">
      <c r="A173" s="120" t="s">
        <v>601</v>
      </c>
      <c r="B173" s="120" t="s">
        <v>144</v>
      </c>
      <c r="C173" s="120" t="s">
        <v>288</v>
      </c>
      <c r="D173" s="4">
        <f t="shared" si="61"/>
        <v>21</v>
      </c>
      <c r="E173" s="121" t="s">
        <v>1</v>
      </c>
      <c r="F173" s="121" t="s">
        <v>1</v>
      </c>
      <c r="G173" s="121">
        <v>0</v>
      </c>
      <c r="H173" s="121" t="s">
        <v>0</v>
      </c>
      <c r="I173" s="121">
        <v>131</v>
      </c>
    </row>
    <row r="174" spans="1:56" s="120" customFormat="1" x14ac:dyDescent="0.25">
      <c r="A174" s="121" t="s">
        <v>602</v>
      </c>
      <c r="B174" s="121" t="s">
        <v>144</v>
      </c>
      <c r="C174" s="121" t="s">
        <v>289</v>
      </c>
      <c r="D174" s="4">
        <f t="shared" si="61"/>
        <v>23</v>
      </c>
      <c r="E174" s="121" t="s">
        <v>1</v>
      </c>
      <c r="F174" s="121" t="s">
        <v>1</v>
      </c>
      <c r="G174" s="121">
        <v>0</v>
      </c>
      <c r="H174" s="121" t="s">
        <v>0</v>
      </c>
      <c r="I174" s="121">
        <v>131</v>
      </c>
    </row>
    <row r="175" spans="1:56" s="117" customFormat="1" x14ac:dyDescent="0.25">
      <c r="A175" s="118" t="s">
        <v>286</v>
      </c>
      <c r="B175" s="118" t="s">
        <v>144</v>
      </c>
      <c r="C175" s="118" t="s">
        <v>287</v>
      </c>
      <c r="D175" s="4">
        <f t="shared" si="61"/>
        <v>16</v>
      </c>
      <c r="E175" s="119" t="s">
        <v>1</v>
      </c>
      <c r="F175" s="119" t="s">
        <v>1</v>
      </c>
      <c r="G175" s="119">
        <v>0</v>
      </c>
      <c r="H175" s="119" t="s">
        <v>0</v>
      </c>
      <c r="I175" s="119">
        <v>64</v>
      </c>
      <c r="J175" s="119"/>
      <c r="K175" s="119" t="s">
        <v>287</v>
      </c>
    </row>
    <row r="176" spans="1:56" x14ac:dyDescent="0.25">
      <c r="A176" t="s">
        <v>115</v>
      </c>
      <c r="B176" t="s">
        <v>4</v>
      </c>
      <c r="C176" t="s">
        <v>5</v>
      </c>
      <c r="D176" s="4">
        <f t="shared" si="61"/>
        <v>7</v>
      </c>
      <c r="E176" t="s">
        <v>30</v>
      </c>
      <c r="F176" t="s">
        <v>6</v>
      </c>
      <c r="G176" t="s">
        <v>7</v>
      </c>
      <c r="H176" t="s">
        <v>31</v>
      </c>
      <c r="I176" t="s">
        <v>113</v>
      </c>
      <c r="J176" t="s">
        <v>114</v>
      </c>
      <c r="K176" t="s">
        <v>45</v>
      </c>
      <c r="L176" t="s">
        <v>46</v>
      </c>
      <c r="M176" t="s">
        <v>47</v>
      </c>
      <c r="N176" t="s">
        <v>48</v>
      </c>
      <c r="O176" t="s">
        <v>37</v>
      </c>
      <c r="P176" t="s">
        <v>39</v>
      </c>
    </row>
    <row r="177" spans="1:15" x14ac:dyDescent="0.25">
      <c r="A177" s="3" t="str">
        <f>$A$3&amp;"_"&amp;"PB_SU_RN"</f>
        <v>BXX_DEV1_DM1_PB_SU_RN</v>
      </c>
      <c r="B177" s="6" t="str">
        <f>$A$3</f>
        <v>BXX_DEV1_DM1</v>
      </c>
      <c r="C177" s="6" t="str">
        <f>$C$3 &amp; " Uncomm. Start Dis Reason"</f>
        <v>Sample Motor Uncomm. Start Dis Reason</v>
      </c>
      <c r="D177" s="4">
        <f t="shared" si="61"/>
        <v>37</v>
      </c>
      <c r="E177" t="s">
        <v>1</v>
      </c>
      <c r="F177" t="s">
        <v>1</v>
      </c>
      <c r="G177">
        <v>0</v>
      </c>
      <c r="H177" t="s">
        <v>0</v>
      </c>
      <c r="I177">
        <v>131</v>
      </c>
      <c r="J177" t="s">
        <v>123</v>
      </c>
      <c r="K177" s="2" t="s">
        <v>124</v>
      </c>
      <c r="L177" t="s">
        <v>0</v>
      </c>
      <c r="M177" s="6" t="str">
        <f>A177</f>
        <v>BXX_DEV1_DM1_PB_SU_RN</v>
      </c>
      <c r="N177" t="s">
        <v>1</v>
      </c>
      <c r="O177" s="6" t="str">
        <f>C177</f>
        <v>Sample Motor Uncomm. Start Dis Reason</v>
      </c>
    </row>
    <row r="178" spans="1:15" x14ac:dyDescent="0.25">
      <c r="A178" s="3" t="str">
        <f>$A$3&amp;"_"&amp;"PB_SF_RN"</f>
        <v>BXX_DEV1_DM1_PB_SF_RN</v>
      </c>
      <c r="B178" s="6" t="str">
        <f t="shared" ref="B178:B195" si="62">$A$3</f>
        <v>BXX_DEV1_DM1</v>
      </c>
      <c r="C178" s="6" t="str">
        <f>$C$3 &amp; " Failed To Start Dis Reason"</f>
        <v>Sample Motor Failed To Start Dis Reason</v>
      </c>
      <c r="D178" s="4">
        <f t="shared" si="61"/>
        <v>39</v>
      </c>
      <c r="E178" t="s">
        <v>1</v>
      </c>
      <c r="F178" t="s">
        <v>1</v>
      </c>
      <c r="G178">
        <v>0</v>
      </c>
      <c r="H178" t="s">
        <v>0</v>
      </c>
      <c r="I178">
        <v>131</v>
      </c>
      <c r="J178" t="s">
        <v>123</v>
      </c>
      <c r="K178" s="6" t="str">
        <f>$K$177</f>
        <v>BXXCPU01_1</v>
      </c>
      <c r="L178" t="s">
        <v>0</v>
      </c>
      <c r="M178" s="6" t="str">
        <f t="shared" ref="M178:M181" si="63">A178</f>
        <v>BXX_DEV1_DM1_PB_SF_RN</v>
      </c>
      <c r="N178" t="s">
        <v>1</v>
      </c>
      <c r="O178" s="6" t="str">
        <f t="shared" ref="O178:O181" si="64">C178</f>
        <v>Sample Motor Failed To Start Dis Reason</v>
      </c>
    </row>
    <row r="179" spans="1:15" x14ac:dyDescent="0.25">
      <c r="A179" s="3" t="str">
        <f>$A$3&amp;"_"&amp;"PB_XF_RN"</f>
        <v>BXX_DEV1_DM1_PB_XF_RN</v>
      </c>
      <c r="B179" s="6" t="str">
        <f t="shared" si="62"/>
        <v>BXX_DEV1_DM1</v>
      </c>
      <c r="C179" s="6" t="str">
        <f>$C$3 &amp; " Failed To Stop Dis Reason"</f>
        <v>Sample Motor Failed To Stop Dis Reason</v>
      </c>
      <c r="D179" s="4">
        <f t="shared" si="61"/>
        <v>38</v>
      </c>
      <c r="E179" t="s">
        <v>1</v>
      </c>
      <c r="F179" t="s">
        <v>1</v>
      </c>
      <c r="G179">
        <v>0</v>
      </c>
      <c r="H179" t="s">
        <v>0</v>
      </c>
      <c r="I179">
        <v>131</v>
      </c>
      <c r="J179" t="s">
        <v>123</v>
      </c>
      <c r="K179" s="6" t="str">
        <f t="shared" ref="K179:K197" si="65">$K$177</f>
        <v>BXXCPU01_1</v>
      </c>
      <c r="L179" t="s">
        <v>0</v>
      </c>
      <c r="M179" s="6" t="str">
        <f t="shared" si="63"/>
        <v>BXX_DEV1_DM1_PB_XF_RN</v>
      </c>
      <c r="N179" t="s">
        <v>1</v>
      </c>
      <c r="O179" s="6" t="str">
        <f t="shared" si="64"/>
        <v>Sample Motor Failed To Stop Dis Reason</v>
      </c>
    </row>
    <row r="180" spans="1:15" x14ac:dyDescent="0.25">
      <c r="A180" s="3" t="str">
        <f>$A$3&amp;"_"&amp;"PB_XU_RN"</f>
        <v>BXX_DEV1_DM1_PB_XU_RN</v>
      </c>
      <c r="B180" s="6" t="str">
        <f t="shared" si="62"/>
        <v>BXX_DEV1_DM1</v>
      </c>
      <c r="C180" s="6" t="str">
        <f>$C$3 &amp; " Uncomm Stop Disabled Reason"</f>
        <v>Sample Motor Uncomm Stop Disabled Reason</v>
      </c>
      <c r="D180" s="4">
        <f t="shared" si="61"/>
        <v>40</v>
      </c>
      <c r="E180" t="s">
        <v>1</v>
      </c>
      <c r="F180" t="s">
        <v>1</v>
      </c>
      <c r="G180">
        <v>0</v>
      </c>
      <c r="H180" t="s">
        <v>0</v>
      </c>
      <c r="I180">
        <v>131</v>
      </c>
      <c r="J180" t="s">
        <v>123</v>
      </c>
      <c r="K180" s="6" t="str">
        <f t="shared" si="65"/>
        <v>BXXCPU01_1</v>
      </c>
      <c r="L180" t="s">
        <v>0</v>
      </c>
      <c r="M180" s="6" t="str">
        <f t="shared" si="63"/>
        <v>BXX_DEV1_DM1_PB_XU_RN</v>
      </c>
      <c r="N180" t="s">
        <v>1</v>
      </c>
      <c r="O180" s="6" t="str">
        <f t="shared" si="64"/>
        <v>Sample Motor Uncomm Stop Disabled Reason</v>
      </c>
    </row>
    <row r="181" spans="1:15" x14ac:dyDescent="0.25">
      <c r="A181" s="3" t="str">
        <f>$A$3&amp;"_"&amp;"PB_AE_RN"</f>
        <v>BXX_DEV1_DM1_PB_AE_RN</v>
      </c>
      <c r="B181" s="6" t="str">
        <f t="shared" si="62"/>
        <v>BXX_DEV1_DM1</v>
      </c>
      <c r="C181" s="6" t="str">
        <f>$C$3 &amp; " Alarms Disabled Reason"</f>
        <v>Sample Motor Alarms Disabled Reason</v>
      </c>
      <c r="D181" s="4">
        <f t="shared" si="61"/>
        <v>35</v>
      </c>
      <c r="E181" t="s">
        <v>1</v>
      </c>
      <c r="F181" t="s">
        <v>1</v>
      </c>
      <c r="G181">
        <v>0</v>
      </c>
      <c r="H181" t="s">
        <v>0</v>
      </c>
      <c r="I181">
        <v>131</v>
      </c>
      <c r="J181" t="s">
        <v>123</v>
      </c>
      <c r="K181" s="6" t="str">
        <f t="shared" si="65"/>
        <v>BXXCPU01_1</v>
      </c>
      <c r="L181" t="s">
        <v>0</v>
      </c>
      <c r="M181" s="6" t="str">
        <f t="shared" si="63"/>
        <v>BXX_DEV1_DM1_PB_AE_RN</v>
      </c>
      <c r="N181" t="s">
        <v>1</v>
      </c>
      <c r="O181" s="6" t="str">
        <f t="shared" si="64"/>
        <v>Sample Motor Alarms Disabled Reason</v>
      </c>
    </row>
    <row r="182" spans="1:15" x14ac:dyDescent="0.25">
      <c r="A182" s="3" t="str">
        <f>$A$3&amp;"_"&amp;"PB_ES_SR"</f>
        <v>BXX_DEV1_DM1_PB_ES_SR</v>
      </c>
      <c r="B182" s="6" t="str">
        <f t="shared" si="62"/>
        <v>BXX_DEV1_DM1</v>
      </c>
      <c r="C182" s="6" t="str">
        <f>$C$3&amp;" E-Stop Disabled Reason"</f>
        <v>Sample Motor E-Stop Disabled Reason</v>
      </c>
      <c r="D182" s="4">
        <f t="shared" si="61"/>
        <v>35</v>
      </c>
      <c r="E182" t="s">
        <v>1</v>
      </c>
      <c r="F182" t="s">
        <v>1</v>
      </c>
      <c r="G182">
        <v>0</v>
      </c>
      <c r="H182" t="s">
        <v>0</v>
      </c>
      <c r="I182">
        <v>131</v>
      </c>
      <c r="J182" t="s">
        <v>123</v>
      </c>
      <c r="K182" s="6" t="str">
        <f t="shared" si="65"/>
        <v>BXXCPU01_1</v>
      </c>
      <c r="L182" t="s">
        <v>0</v>
      </c>
      <c r="M182" s="6" t="str">
        <f t="shared" ref="M182:M195" si="66">A182</f>
        <v>BXX_DEV1_DM1_PB_ES_SR</v>
      </c>
      <c r="N182" t="s">
        <v>1</v>
      </c>
      <c r="O182" s="6" t="str">
        <f t="shared" ref="O182:O195" si="67">C182</f>
        <v>Sample Motor E-Stop Disabled Reason</v>
      </c>
    </row>
    <row r="183" spans="1:15" x14ac:dyDescent="0.25">
      <c r="A183" s="3" t="str">
        <f>$A$3&amp;"_"&amp;"PB_RA_SR"</f>
        <v>BXX_DEV1_DM1_PB_RA_SR</v>
      </c>
      <c r="B183" s="6" t="str">
        <f t="shared" si="62"/>
        <v>BXX_DEV1_DM1</v>
      </c>
      <c r="C183" s="6" t="str">
        <f>$C$3&amp;" Overload Disabled Reason"</f>
        <v>Sample Motor Overload Disabled Reason</v>
      </c>
      <c r="D183" s="4">
        <f t="shared" si="61"/>
        <v>37</v>
      </c>
      <c r="E183" t="s">
        <v>1</v>
      </c>
      <c r="F183" t="s">
        <v>1</v>
      </c>
      <c r="G183">
        <v>0</v>
      </c>
      <c r="H183" t="s">
        <v>0</v>
      </c>
      <c r="I183">
        <v>131</v>
      </c>
      <c r="J183" t="s">
        <v>123</v>
      </c>
      <c r="K183" s="6" t="str">
        <f t="shared" si="65"/>
        <v>BXXCPU01_1</v>
      </c>
      <c r="L183" t="s">
        <v>0</v>
      </c>
      <c r="M183" s="6" t="str">
        <f t="shared" si="66"/>
        <v>BXX_DEV1_DM1_PB_RA_SR</v>
      </c>
      <c r="N183" t="s">
        <v>1</v>
      </c>
      <c r="O183" s="6" t="str">
        <f t="shared" si="67"/>
        <v>Sample Motor Overload Disabled Reason</v>
      </c>
    </row>
    <row r="184" spans="1:15" x14ac:dyDescent="0.25">
      <c r="A184" s="3" t="str">
        <f>$A$3&amp;"_"&amp;"PB_PL_SR"</f>
        <v>BXX_DEV1_DM1_PB_PL_SR</v>
      </c>
      <c r="B184" s="6" t="str">
        <f t="shared" si="62"/>
        <v>BXX_DEV1_DM1</v>
      </c>
      <c r="C184" s="6" t="str">
        <f>$C$3&amp;" Loss of Pressure Disabled Reason"</f>
        <v>Sample Motor Loss of Pressure Disabled Reason</v>
      </c>
      <c r="D184" s="4">
        <f t="shared" si="61"/>
        <v>45</v>
      </c>
      <c r="E184" t="s">
        <v>1</v>
      </c>
      <c r="F184" t="s">
        <v>1</v>
      </c>
      <c r="G184">
        <v>0</v>
      </c>
      <c r="H184" t="s">
        <v>0</v>
      </c>
      <c r="I184">
        <v>131</v>
      </c>
      <c r="J184" t="s">
        <v>123</v>
      </c>
      <c r="K184" s="6" t="str">
        <f t="shared" si="65"/>
        <v>BXXCPU01_1</v>
      </c>
      <c r="L184" t="s">
        <v>0</v>
      </c>
      <c r="M184" s="6" t="str">
        <f t="shared" si="66"/>
        <v>BXX_DEV1_DM1_PB_PL_SR</v>
      </c>
      <c r="N184" t="s">
        <v>1</v>
      </c>
      <c r="O184" s="6" t="str">
        <f t="shared" si="67"/>
        <v>Sample Motor Loss of Pressure Disabled Reason</v>
      </c>
    </row>
    <row r="185" spans="1:15" x14ac:dyDescent="0.25">
      <c r="A185" s="3" t="str">
        <f>$A$3&amp;"_"&amp;"PB_PH_SR"</f>
        <v>BXX_DEV1_DM1_PB_PH_SR</v>
      </c>
      <c r="B185" s="6" t="str">
        <f t="shared" si="62"/>
        <v>BXX_DEV1_DM1</v>
      </c>
      <c r="C185" s="6" t="str">
        <f>$C$3&amp;" High Disch Pressure Disabled Reason"</f>
        <v>Sample Motor High Disch Pressure Disabled Reason</v>
      </c>
      <c r="D185" s="4">
        <f t="shared" si="61"/>
        <v>48</v>
      </c>
      <c r="E185" t="s">
        <v>1</v>
      </c>
      <c r="F185" t="s">
        <v>1</v>
      </c>
      <c r="G185">
        <v>0</v>
      </c>
      <c r="H185" t="s">
        <v>0</v>
      </c>
      <c r="I185">
        <v>131</v>
      </c>
      <c r="J185" t="s">
        <v>123</v>
      </c>
      <c r="K185" s="6" t="str">
        <f t="shared" si="65"/>
        <v>BXXCPU01_1</v>
      </c>
      <c r="L185" t="s">
        <v>0</v>
      </c>
      <c r="M185" s="6" t="str">
        <f t="shared" si="66"/>
        <v>BXX_DEV1_DM1_PB_PH_SR</v>
      </c>
      <c r="N185" t="s">
        <v>1</v>
      </c>
      <c r="O185" s="6" t="str">
        <f t="shared" si="67"/>
        <v>Sample Motor High Disch Pressure Disabled Reason</v>
      </c>
    </row>
    <row r="186" spans="1:15" x14ac:dyDescent="0.25">
      <c r="A186" s="3" t="str">
        <f>$A$3&amp;"_"&amp;"PB_DF_SR"</f>
        <v>BXX_DEV1_DM1_PB_DF_SR</v>
      </c>
      <c r="B186" s="6" t="str">
        <f t="shared" si="62"/>
        <v>BXX_DEV1_DM1</v>
      </c>
      <c r="C186" s="6" t="str">
        <f>$C$3&amp;" Not Ready Disabled Reason"</f>
        <v>Sample Motor Not Ready Disabled Reason</v>
      </c>
      <c r="D186" s="4">
        <f t="shared" si="61"/>
        <v>38</v>
      </c>
      <c r="E186" t="s">
        <v>1</v>
      </c>
      <c r="F186" t="s">
        <v>1</v>
      </c>
      <c r="G186">
        <v>0</v>
      </c>
      <c r="H186" t="s">
        <v>0</v>
      </c>
      <c r="I186">
        <v>131</v>
      </c>
      <c r="J186" t="s">
        <v>123</v>
      </c>
      <c r="K186" s="6" t="str">
        <f t="shared" si="65"/>
        <v>BXXCPU01_1</v>
      </c>
      <c r="L186" t="s">
        <v>0</v>
      </c>
      <c r="M186" s="6" t="str">
        <f t="shared" si="66"/>
        <v>BXX_DEV1_DM1_PB_DF_SR</v>
      </c>
      <c r="N186" t="s">
        <v>1</v>
      </c>
      <c r="O186" s="6" t="str">
        <f t="shared" si="67"/>
        <v>Sample Motor Not Ready Disabled Reason</v>
      </c>
    </row>
    <row r="187" spans="1:15" x14ac:dyDescent="0.25">
      <c r="A187" s="3" t="str">
        <f>$A$3&amp;"_"&amp;"PB_MA_SR"</f>
        <v>BXX_DEV1_DM1_PB_MA_SR</v>
      </c>
      <c r="B187" s="6" t="str">
        <f t="shared" si="62"/>
        <v>BXX_DEV1_DM1</v>
      </c>
      <c r="C187" s="6" t="str">
        <f>$C$3&amp;" Loss of Prime Disabled Reason"</f>
        <v>Sample Motor Loss of Prime Disabled Reason</v>
      </c>
      <c r="D187" s="4">
        <f t="shared" si="61"/>
        <v>42</v>
      </c>
      <c r="E187" t="s">
        <v>1</v>
      </c>
      <c r="F187" t="s">
        <v>1</v>
      </c>
      <c r="G187">
        <v>0</v>
      </c>
      <c r="H187" t="s">
        <v>0</v>
      </c>
      <c r="I187">
        <v>131</v>
      </c>
      <c r="J187" t="s">
        <v>123</v>
      </c>
      <c r="K187" s="6" t="str">
        <f t="shared" si="65"/>
        <v>BXXCPU01_1</v>
      </c>
      <c r="L187" t="s">
        <v>0</v>
      </c>
      <c r="M187" s="6" t="str">
        <f t="shared" si="66"/>
        <v>BXX_DEV1_DM1_PB_MA_SR</v>
      </c>
      <c r="N187" t="s">
        <v>1</v>
      </c>
      <c r="O187" s="6" t="str">
        <f t="shared" si="67"/>
        <v>Sample Motor Loss of Prime Disabled Reason</v>
      </c>
    </row>
    <row r="188" spans="1:15" x14ac:dyDescent="0.25">
      <c r="A188" s="3" t="str">
        <f>$A$3&amp;"_"&amp;"PB_VM_SR"</f>
        <v>BXX_DEV1_DM1_PB_VM_SR</v>
      </c>
      <c r="B188" s="6" t="str">
        <f t="shared" si="62"/>
        <v>BXX_DEV1_DM1</v>
      </c>
      <c r="C188" s="6" t="str">
        <f>$C$3&amp;" Vacuum Alarm Disabled Reason"</f>
        <v>Sample Motor Vacuum Alarm Disabled Reason</v>
      </c>
      <c r="D188" s="4">
        <f t="shared" si="61"/>
        <v>41</v>
      </c>
      <c r="E188" t="s">
        <v>1</v>
      </c>
      <c r="F188" t="s">
        <v>1</v>
      </c>
      <c r="G188">
        <v>0</v>
      </c>
      <c r="H188" t="s">
        <v>0</v>
      </c>
      <c r="I188">
        <v>131</v>
      </c>
      <c r="J188" t="s">
        <v>123</v>
      </c>
      <c r="K188" s="6" t="str">
        <f t="shared" si="65"/>
        <v>BXXCPU01_1</v>
      </c>
      <c r="L188" t="s">
        <v>0</v>
      </c>
      <c r="M188" s="6" t="str">
        <f t="shared" si="66"/>
        <v>BXX_DEV1_DM1_PB_VM_SR</v>
      </c>
      <c r="N188" t="s">
        <v>1</v>
      </c>
      <c r="O188" s="6" t="str">
        <f t="shared" si="67"/>
        <v>Sample Motor Vacuum Alarm Disabled Reason</v>
      </c>
    </row>
    <row r="189" spans="1:15" x14ac:dyDescent="0.25">
      <c r="A189" s="3" t="str">
        <f>$A$3&amp;"_"&amp;"PB_GA_SR"</f>
        <v>BXX_DEV1_DM1_PB_GA_SR</v>
      </c>
      <c r="B189" s="6" t="str">
        <f t="shared" si="62"/>
        <v>BXX_DEV1_DM1</v>
      </c>
      <c r="C189" s="2" t="str">
        <f>$C$3&amp;" Soft Starter/VFD Fault Disabled Reason"</f>
        <v>Sample Motor Soft Starter/VFD Fault Disabled Reason</v>
      </c>
      <c r="D189" s="4">
        <f t="shared" si="61"/>
        <v>51</v>
      </c>
      <c r="E189" t="s">
        <v>1</v>
      </c>
      <c r="F189" t="s">
        <v>1</v>
      </c>
      <c r="G189">
        <v>0</v>
      </c>
      <c r="H189" t="s">
        <v>0</v>
      </c>
      <c r="I189">
        <v>131</v>
      </c>
      <c r="J189" t="s">
        <v>123</v>
      </c>
      <c r="K189" s="6" t="str">
        <f t="shared" si="65"/>
        <v>BXXCPU01_1</v>
      </c>
      <c r="L189" t="s">
        <v>0</v>
      </c>
      <c r="M189" s="6" t="str">
        <f t="shared" si="66"/>
        <v>BXX_DEV1_DM1_PB_GA_SR</v>
      </c>
      <c r="N189" t="s">
        <v>1</v>
      </c>
      <c r="O189" s="6" t="str">
        <f t="shared" si="67"/>
        <v>Sample Motor Soft Starter/VFD Fault Disabled Reason</v>
      </c>
    </row>
    <row r="190" spans="1:15" x14ac:dyDescent="0.25">
      <c r="A190" s="3" t="str">
        <f>$A$3&amp;"_"&amp;"PB_HA_SR"</f>
        <v>BXX_DEV1_DM1_PB_HA_SR</v>
      </c>
      <c r="B190" s="6" t="str">
        <f t="shared" si="62"/>
        <v>BXX_DEV1_DM1</v>
      </c>
      <c r="C190" s="6" t="str">
        <f>$C$3&amp;" Overtorque Disabled Reason"</f>
        <v>Sample Motor Overtorque Disabled Reason</v>
      </c>
      <c r="D190" s="4">
        <f t="shared" si="61"/>
        <v>39</v>
      </c>
      <c r="E190" t="s">
        <v>1</v>
      </c>
      <c r="F190" t="s">
        <v>1</v>
      </c>
      <c r="G190">
        <v>0</v>
      </c>
      <c r="H190" t="s">
        <v>0</v>
      </c>
      <c r="I190">
        <v>131</v>
      </c>
      <c r="J190" t="s">
        <v>123</v>
      </c>
      <c r="K190" s="6" t="str">
        <f t="shared" si="65"/>
        <v>BXXCPU01_1</v>
      </c>
      <c r="L190" t="s">
        <v>0</v>
      </c>
      <c r="M190" s="6" t="str">
        <f t="shared" si="66"/>
        <v>BXX_DEV1_DM1_PB_HA_SR</v>
      </c>
      <c r="N190" t="s">
        <v>1</v>
      </c>
      <c r="O190" s="6" t="str">
        <f t="shared" si="67"/>
        <v>Sample Motor Overtorque Disabled Reason</v>
      </c>
    </row>
    <row r="191" spans="1:15" x14ac:dyDescent="0.25">
      <c r="A191" s="3" t="str">
        <f>$A$3&amp;"_"&amp;"PB_BT_SR"</f>
        <v>BXX_DEV1_DM1_PB_BT_SR</v>
      </c>
      <c r="B191" s="6" t="str">
        <f t="shared" si="62"/>
        <v>BXX_DEV1_DM1</v>
      </c>
      <c r="C191" s="6" t="str">
        <f>$C$3&amp;" Bearing Temp Disabled Reason"</f>
        <v>Sample Motor Bearing Temp Disabled Reason</v>
      </c>
      <c r="D191" s="4">
        <f t="shared" si="61"/>
        <v>41</v>
      </c>
      <c r="E191" t="s">
        <v>1</v>
      </c>
      <c r="F191" t="s">
        <v>1</v>
      </c>
      <c r="G191">
        <v>0</v>
      </c>
      <c r="H191" t="s">
        <v>0</v>
      </c>
      <c r="I191">
        <v>131</v>
      </c>
      <c r="J191" t="s">
        <v>123</v>
      </c>
      <c r="K191" s="6" t="str">
        <f t="shared" si="65"/>
        <v>BXXCPU01_1</v>
      </c>
      <c r="L191" t="s">
        <v>0</v>
      </c>
      <c r="M191" s="6" t="str">
        <f t="shared" si="66"/>
        <v>BXX_DEV1_DM1_PB_BT_SR</v>
      </c>
      <c r="N191" t="s">
        <v>1</v>
      </c>
      <c r="O191" s="6" t="str">
        <f t="shared" si="67"/>
        <v>Sample Motor Bearing Temp Disabled Reason</v>
      </c>
    </row>
    <row r="192" spans="1:15" x14ac:dyDescent="0.25">
      <c r="A192" s="3" t="str">
        <f>$A$3&amp;"_"&amp;"PB_WA_SR"</f>
        <v>BXX_DEV1_DM1_PB_WA_SR</v>
      </c>
      <c r="B192" s="6" t="str">
        <f t="shared" si="62"/>
        <v>BXX_DEV1_DM1</v>
      </c>
      <c r="C192" s="6" t="str">
        <f>$C$3&amp;" Winding Temp Disabled Reason"</f>
        <v>Sample Motor Winding Temp Disabled Reason</v>
      </c>
      <c r="D192" s="4">
        <f t="shared" si="61"/>
        <v>41</v>
      </c>
      <c r="E192" t="s">
        <v>1</v>
      </c>
      <c r="F192" t="s">
        <v>1</v>
      </c>
      <c r="G192">
        <v>0</v>
      </c>
      <c r="H192" t="s">
        <v>0</v>
      </c>
      <c r="I192">
        <v>131</v>
      </c>
      <c r="J192" t="s">
        <v>123</v>
      </c>
      <c r="K192" s="6" t="str">
        <f t="shared" si="65"/>
        <v>BXXCPU01_1</v>
      </c>
      <c r="L192" t="s">
        <v>0</v>
      </c>
      <c r="M192" s="6" t="str">
        <f t="shared" si="66"/>
        <v>BXX_DEV1_DM1_PB_WA_SR</v>
      </c>
      <c r="N192" t="s">
        <v>1</v>
      </c>
      <c r="O192" s="6" t="str">
        <f t="shared" si="67"/>
        <v>Sample Motor Winding Temp Disabled Reason</v>
      </c>
    </row>
    <row r="193" spans="1:15" x14ac:dyDescent="0.25">
      <c r="A193" s="3" t="str">
        <f>$A$3&amp;"_"&amp;"PB_TH_SR"</f>
        <v>BXX_DEV1_DM1_PB_TH_SR</v>
      </c>
      <c r="B193" s="6" t="str">
        <f t="shared" si="62"/>
        <v>BXX_DEV1_DM1</v>
      </c>
      <c r="C193" s="6" t="str">
        <f>$C$3&amp;" High Temp Disabled Reason"</f>
        <v>Sample Motor High Temp Disabled Reason</v>
      </c>
      <c r="D193" s="4">
        <f t="shared" si="61"/>
        <v>38</v>
      </c>
      <c r="E193" t="s">
        <v>1</v>
      </c>
      <c r="F193" t="s">
        <v>1</v>
      </c>
      <c r="G193">
        <v>0</v>
      </c>
      <c r="H193" t="s">
        <v>0</v>
      </c>
      <c r="I193">
        <v>131</v>
      </c>
      <c r="J193" t="s">
        <v>123</v>
      </c>
      <c r="K193" s="6" t="str">
        <f t="shared" si="65"/>
        <v>BXXCPU01_1</v>
      </c>
      <c r="L193" t="s">
        <v>0</v>
      </c>
      <c r="M193" s="6" t="str">
        <f t="shared" si="66"/>
        <v>BXX_DEV1_DM1_PB_TH_SR</v>
      </c>
      <c r="N193" t="s">
        <v>1</v>
      </c>
      <c r="O193" s="6" t="str">
        <f t="shared" si="67"/>
        <v>Sample Motor High Temp Disabled Reason</v>
      </c>
    </row>
    <row r="194" spans="1:15" x14ac:dyDescent="0.25">
      <c r="A194" s="3" t="str">
        <f>$A$3&amp;"_"&amp;"PB_TA_SR"</f>
        <v>BXX_DEV1_DM1_PB_TA_SR</v>
      </c>
      <c r="B194" s="6" t="str">
        <f t="shared" si="62"/>
        <v>BXX_DEV1_DM1</v>
      </c>
      <c r="C194" s="6" t="str">
        <f>$C$3&amp;" Temp/Leak Disabled Reason"</f>
        <v>Sample Motor Temp/Leak Disabled Reason</v>
      </c>
      <c r="D194" s="4">
        <f t="shared" si="61"/>
        <v>38</v>
      </c>
      <c r="E194" t="s">
        <v>1</v>
      </c>
      <c r="F194" t="s">
        <v>1</v>
      </c>
      <c r="G194">
        <v>0</v>
      </c>
      <c r="H194" t="s">
        <v>0</v>
      </c>
      <c r="I194">
        <v>131</v>
      </c>
      <c r="J194" t="s">
        <v>123</v>
      </c>
      <c r="K194" s="6" t="str">
        <f t="shared" si="65"/>
        <v>BXXCPU01_1</v>
      </c>
      <c r="L194" t="s">
        <v>0</v>
      </c>
      <c r="M194" s="6" t="str">
        <f t="shared" si="66"/>
        <v>BXX_DEV1_DM1_PB_TA_SR</v>
      </c>
      <c r="N194" t="s">
        <v>1</v>
      </c>
      <c r="O194" s="6" t="str">
        <f t="shared" si="67"/>
        <v>Sample Motor Temp/Leak Disabled Reason</v>
      </c>
    </row>
    <row r="195" spans="1:15" x14ac:dyDescent="0.25">
      <c r="A195" s="3" t="str">
        <f>$A$3&amp;"_"&amp;"PB_FA_SR"</f>
        <v>BXX_DEV1_DM1_PB_FA_SR</v>
      </c>
      <c r="B195" s="6" t="str">
        <f t="shared" si="62"/>
        <v>BXX_DEV1_DM1</v>
      </c>
      <c r="C195" s="6" t="str">
        <f>$C$3&amp;" No Flow Disabled Reason"</f>
        <v>Sample Motor No Flow Disabled Reason</v>
      </c>
      <c r="D195" s="4">
        <f t="shared" si="61"/>
        <v>36</v>
      </c>
      <c r="E195" t="s">
        <v>1</v>
      </c>
      <c r="F195" t="s">
        <v>1</v>
      </c>
      <c r="G195">
        <v>0</v>
      </c>
      <c r="H195" t="s">
        <v>0</v>
      </c>
      <c r="I195">
        <v>131</v>
      </c>
      <c r="J195" t="s">
        <v>123</v>
      </c>
      <c r="K195" s="6" t="str">
        <f t="shared" si="65"/>
        <v>BXXCPU01_1</v>
      </c>
      <c r="L195" t="s">
        <v>0</v>
      </c>
      <c r="M195" s="6" t="str">
        <f t="shared" si="66"/>
        <v>BXX_DEV1_DM1_PB_FA_SR</v>
      </c>
      <c r="N195" t="s">
        <v>1</v>
      </c>
      <c r="O195" s="6" t="str">
        <f t="shared" si="67"/>
        <v>Sample Motor No Flow Disabled Reason</v>
      </c>
    </row>
    <row r="196" spans="1:15" x14ac:dyDescent="0.25">
      <c r="A196" s="3" t="str">
        <f>$A$5&amp;"_"&amp;"PB_ZA_RN"</f>
        <v>BXX_DEV1_SI1_PB_ZA_RN</v>
      </c>
      <c r="B196" s="6" t="str">
        <f>$A$5</f>
        <v>BXX_DEV1_SI1</v>
      </c>
      <c r="C196" s="6" t="str">
        <f>$C$5 &amp; " Deviation Disabled Reason"</f>
        <v>Sample Motor Speed Deviation Disabled Reason</v>
      </c>
      <c r="D196" s="4">
        <f t="shared" si="61"/>
        <v>44</v>
      </c>
      <c r="E196" t="s">
        <v>1</v>
      </c>
      <c r="F196" t="s">
        <v>1</v>
      </c>
      <c r="G196">
        <v>0</v>
      </c>
      <c r="H196" t="s">
        <v>0</v>
      </c>
      <c r="I196">
        <v>131</v>
      </c>
      <c r="J196" t="s">
        <v>123</v>
      </c>
      <c r="K196" s="6" t="str">
        <f t="shared" si="65"/>
        <v>BXXCPU01_1</v>
      </c>
      <c r="L196" t="s">
        <v>0</v>
      </c>
      <c r="M196" s="6" t="str">
        <f>A196</f>
        <v>BXX_DEV1_SI1_PB_ZA_RN</v>
      </c>
      <c r="N196" t="s">
        <v>1</v>
      </c>
      <c r="O196" s="6" t="str">
        <f t="shared" ref="O196:O197" si="68">C196</f>
        <v>Sample Motor Speed Deviation Disabled Reason</v>
      </c>
    </row>
    <row r="197" spans="1:15" x14ac:dyDescent="0.25">
      <c r="A197" s="3" t="str">
        <f>$A$6&amp;"_"&amp;"PB_ZA_RN"</f>
        <v>BXX_DEV1_SK1_PB_ZA_RN</v>
      </c>
      <c r="B197" s="6" t="str">
        <f>$A$6</f>
        <v>BXX_DEV1_SK1</v>
      </c>
      <c r="C197" s="6" t="str">
        <f>$C$6 &amp; " Deviation Disabled Reason"</f>
        <v>Sample Motor Stroke Deviation Disabled Reason</v>
      </c>
      <c r="D197" s="4">
        <f t="shared" si="61"/>
        <v>45</v>
      </c>
      <c r="E197" t="s">
        <v>1</v>
      </c>
      <c r="F197" t="s">
        <v>1</v>
      </c>
      <c r="G197">
        <v>0</v>
      </c>
      <c r="H197" t="s">
        <v>0</v>
      </c>
      <c r="I197">
        <v>131</v>
      </c>
      <c r="J197" t="s">
        <v>123</v>
      </c>
      <c r="K197" s="6" t="str">
        <f t="shared" si="65"/>
        <v>BXXCPU01_1</v>
      </c>
      <c r="L197" t="s">
        <v>0</v>
      </c>
      <c r="M197" s="6" t="str">
        <f>A197</f>
        <v>BXX_DEV1_SK1_PB_ZA_RN</v>
      </c>
      <c r="N197" t="s">
        <v>1</v>
      </c>
      <c r="O197" s="6" t="str">
        <f t="shared" si="68"/>
        <v>Sample Motor Stroke Deviation Disabled Reason</v>
      </c>
    </row>
    <row r="198" spans="1:15" x14ac:dyDescent="0.25">
      <c r="A198" s="58" t="s">
        <v>176</v>
      </c>
      <c r="B198" s="58" t="s">
        <v>4</v>
      </c>
      <c r="C198" s="58" t="s">
        <v>5</v>
      </c>
      <c r="D198" s="4">
        <f t="shared" si="61"/>
        <v>7</v>
      </c>
      <c r="E198" s="58" t="s">
        <v>6</v>
      </c>
      <c r="F198" s="58" t="s">
        <v>7</v>
      </c>
      <c r="G198" s="58" t="s">
        <v>31</v>
      </c>
      <c r="H198" s="58" t="s">
        <v>39</v>
      </c>
    </row>
    <row r="199" spans="1:15" x14ac:dyDescent="0.25">
      <c r="A199" s="1" t="s">
        <v>574</v>
      </c>
      <c r="B199" s="59" t="s">
        <v>144</v>
      </c>
      <c r="C199" s="59" t="s">
        <v>224</v>
      </c>
      <c r="D199" s="4">
        <f t="shared" si="61"/>
        <v>34</v>
      </c>
      <c r="E199" s="62" t="s">
        <v>1</v>
      </c>
      <c r="F199" s="62">
        <v>0</v>
      </c>
      <c r="G199" s="62" t="s">
        <v>1</v>
      </c>
    </row>
    <row r="200" spans="1:15" x14ac:dyDescent="0.25">
      <c r="A200" s="1" t="s">
        <v>652</v>
      </c>
      <c r="B200" s="59" t="s">
        <v>144</v>
      </c>
      <c r="C200" s="59" t="s">
        <v>225</v>
      </c>
      <c r="D200" s="4">
        <f t="shared" si="61"/>
        <v>38</v>
      </c>
      <c r="E200" s="63" t="s">
        <v>1</v>
      </c>
      <c r="F200" s="63">
        <v>0</v>
      </c>
      <c r="G200" s="63" t="s">
        <v>1</v>
      </c>
    </row>
    <row r="201" spans="1:15" x14ac:dyDescent="0.25">
      <c r="A201" s="1" t="s">
        <v>653</v>
      </c>
      <c r="B201" s="59" t="s">
        <v>144</v>
      </c>
      <c r="C201" s="59" t="s">
        <v>226</v>
      </c>
      <c r="D201" s="4">
        <f t="shared" si="61"/>
        <v>40</v>
      </c>
      <c r="E201" s="64" t="s">
        <v>1</v>
      </c>
      <c r="F201" s="64">
        <v>0</v>
      </c>
      <c r="G201" s="64" t="s">
        <v>1</v>
      </c>
    </row>
    <row r="202" spans="1:15" x14ac:dyDescent="0.25">
      <c r="A202" s="1" t="s">
        <v>654</v>
      </c>
      <c r="B202" s="59" t="s">
        <v>144</v>
      </c>
      <c r="C202" s="59" t="s">
        <v>227</v>
      </c>
      <c r="D202" s="4">
        <f t="shared" si="61"/>
        <v>28</v>
      </c>
      <c r="E202" s="65" t="s">
        <v>1</v>
      </c>
      <c r="F202" s="65">
        <v>0</v>
      </c>
      <c r="G202" s="65" t="s">
        <v>1</v>
      </c>
    </row>
    <row r="203" spans="1:15" x14ac:dyDescent="0.25">
      <c r="A203" s="1" t="s">
        <v>655</v>
      </c>
      <c r="B203" s="59" t="s">
        <v>144</v>
      </c>
      <c r="C203" s="59" t="s">
        <v>228</v>
      </c>
      <c r="D203" s="4">
        <f t="shared" si="61"/>
        <v>42</v>
      </c>
      <c r="E203" s="66" t="s">
        <v>1</v>
      </c>
      <c r="F203" s="66">
        <v>0</v>
      </c>
      <c r="G203" s="66" t="s">
        <v>1</v>
      </c>
    </row>
    <row r="204" spans="1:15" x14ac:dyDescent="0.25">
      <c r="A204" s="1" t="s">
        <v>656</v>
      </c>
      <c r="B204" s="59" t="s">
        <v>144</v>
      </c>
      <c r="C204" s="59" t="s">
        <v>229</v>
      </c>
      <c r="D204" s="4">
        <f t="shared" si="61"/>
        <v>40</v>
      </c>
      <c r="E204" s="67" t="s">
        <v>1</v>
      </c>
      <c r="F204" s="67">
        <v>0</v>
      </c>
      <c r="G204" s="67" t="s">
        <v>1</v>
      </c>
    </row>
    <row r="205" spans="1:15" x14ac:dyDescent="0.25">
      <c r="A205" s="1" t="s">
        <v>657</v>
      </c>
      <c r="B205" s="59" t="s">
        <v>144</v>
      </c>
      <c r="C205" s="59" t="s">
        <v>230</v>
      </c>
      <c r="D205" s="4">
        <f t="shared" si="61"/>
        <v>35</v>
      </c>
      <c r="E205" s="68" t="s">
        <v>1</v>
      </c>
      <c r="F205" s="68">
        <v>0</v>
      </c>
      <c r="G205" s="68" t="s">
        <v>1</v>
      </c>
    </row>
    <row r="206" spans="1:15" x14ac:dyDescent="0.25">
      <c r="A206" s="1" t="s">
        <v>658</v>
      </c>
      <c r="B206" s="59" t="s">
        <v>144</v>
      </c>
      <c r="C206" s="59" t="s">
        <v>231</v>
      </c>
      <c r="D206" s="4">
        <f t="shared" si="61"/>
        <v>30</v>
      </c>
      <c r="E206" s="69" t="s">
        <v>1</v>
      </c>
      <c r="F206" s="69">
        <v>0</v>
      </c>
      <c r="G206" s="69" t="s">
        <v>1</v>
      </c>
    </row>
    <row r="207" spans="1:15" x14ac:dyDescent="0.25">
      <c r="A207" s="1" t="s">
        <v>659</v>
      </c>
      <c r="B207" s="59" t="s">
        <v>144</v>
      </c>
      <c r="C207" s="59" t="s">
        <v>232</v>
      </c>
      <c r="D207" s="4">
        <f t="shared" si="61"/>
        <v>31</v>
      </c>
      <c r="E207" s="70" t="s">
        <v>1</v>
      </c>
      <c r="F207" s="70">
        <v>0</v>
      </c>
      <c r="G207" s="70" t="s">
        <v>1</v>
      </c>
    </row>
    <row r="208" spans="1:15" x14ac:dyDescent="0.25">
      <c r="A208" s="1" t="s">
        <v>660</v>
      </c>
      <c r="B208" s="59" t="s">
        <v>144</v>
      </c>
      <c r="C208" s="59" t="s">
        <v>233</v>
      </c>
      <c r="D208" s="4">
        <f t="shared" si="61"/>
        <v>40</v>
      </c>
      <c r="E208" s="71" t="s">
        <v>1</v>
      </c>
      <c r="F208" s="71">
        <v>0</v>
      </c>
      <c r="G208" s="71" t="s">
        <v>1</v>
      </c>
    </row>
    <row r="209" spans="1:7" x14ac:dyDescent="0.25">
      <c r="A209" s="1" t="s">
        <v>661</v>
      </c>
      <c r="B209" s="59" t="s">
        <v>144</v>
      </c>
      <c r="C209" s="59" t="s">
        <v>234</v>
      </c>
      <c r="D209" s="4">
        <f t="shared" si="61"/>
        <v>38</v>
      </c>
      <c r="E209" s="72" t="s">
        <v>1</v>
      </c>
      <c r="F209" s="72">
        <v>0</v>
      </c>
      <c r="G209" s="72" t="s">
        <v>1</v>
      </c>
    </row>
    <row r="210" spans="1:7" x14ac:dyDescent="0.25">
      <c r="A210" s="1" t="s">
        <v>662</v>
      </c>
      <c r="B210" s="59" t="s">
        <v>144</v>
      </c>
      <c r="C210" s="59" t="s">
        <v>235</v>
      </c>
      <c r="D210" s="4">
        <f t="shared" si="61"/>
        <v>38</v>
      </c>
      <c r="E210" s="73" t="s">
        <v>1</v>
      </c>
      <c r="F210" s="73">
        <v>0</v>
      </c>
      <c r="G210" s="73" t="s">
        <v>1</v>
      </c>
    </row>
    <row r="211" spans="1:7" x14ac:dyDescent="0.25">
      <c r="A211" s="1" t="s">
        <v>663</v>
      </c>
      <c r="B211" s="59" t="s">
        <v>144</v>
      </c>
      <c r="C211" s="59" t="s">
        <v>236</v>
      </c>
      <c r="D211" s="4">
        <f t="shared" si="61"/>
        <v>39</v>
      </c>
      <c r="E211" s="74" t="s">
        <v>1</v>
      </c>
      <c r="F211" s="74">
        <v>0</v>
      </c>
      <c r="G211" s="74" t="s">
        <v>1</v>
      </c>
    </row>
    <row r="212" spans="1:7" x14ac:dyDescent="0.25">
      <c r="A212" s="1" t="s">
        <v>664</v>
      </c>
      <c r="B212" s="59" t="s">
        <v>144</v>
      </c>
      <c r="C212" s="59" t="s">
        <v>237</v>
      </c>
      <c r="D212" s="4">
        <f t="shared" si="61"/>
        <v>29</v>
      </c>
      <c r="E212" s="75" t="s">
        <v>1</v>
      </c>
      <c r="F212" s="75">
        <v>0</v>
      </c>
      <c r="G212" s="75" t="s">
        <v>1</v>
      </c>
    </row>
    <row r="213" spans="1:7" x14ac:dyDescent="0.25">
      <c r="A213" s="1" t="s">
        <v>575</v>
      </c>
      <c r="B213" s="59" t="s">
        <v>144</v>
      </c>
      <c r="C213" s="59" t="s">
        <v>238</v>
      </c>
      <c r="D213" s="4">
        <f t="shared" si="61"/>
        <v>41</v>
      </c>
      <c r="E213" s="76" t="s">
        <v>1</v>
      </c>
      <c r="F213" s="76">
        <v>0</v>
      </c>
      <c r="G213" s="76" t="s">
        <v>1</v>
      </c>
    </row>
    <row r="214" spans="1:7" x14ac:dyDescent="0.25">
      <c r="A214" s="1" t="s">
        <v>576</v>
      </c>
      <c r="B214" s="59" t="s">
        <v>144</v>
      </c>
      <c r="C214" s="59" t="s">
        <v>239</v>
      </c>
      <c r="D214" s="4">
        <f t="shared" si="61"/>
        <v>43</v>
      </c>
      <c r="E214" s="77" t="s">
        <v>1</v>
      </c>
      <c r="F214" s="77">
        <v>0</v>
      </c>
      <c r="G214" s="77" t="s">
        <v>1</v>
      </c>
    </row>
    <row r="215" spans="1:7" x14ac:dyDescent="0.25">
      <c r="A215" s="1" t="s">
        <v>577</v>
      </c>
      <c r="B215" s="59" t="s">
        <v>144</v>
      </c>
      <c r="C215" s="59" t="s">
        <v>240</v>
      </c>
      <c r="D215" s="4">
        <f t="shared" si="61"/>
        <v>44</v>
      </c>
      <c r="E215" s="78" t="s">
        <v>1</v>
      </c>
      <c r="F215" s="78">
        <v>0</v>
      </c>
      <c r="G215" s="78" t="s">
        <v>1</v>
      </c>
    </row>
    <row r="216" spans="1:7" x14ac:dyDescent="0.25">
      <c r="A216" s="1" t="s">
        <v>578</v>
      </c>
      <c r="B216" s="59" t="s">
        <v>144</v>
      </c>
      <c r="C216" s="59" t="s">
        <v>241</v>
      </c>
      <c r="D216" s="4">
        <f t="shared" si="61"/>
        <v>34</v>
      </c>
      <c r="E216" s="79" t="s">
        <v>1</v>
      </c>
      <c r="F216" s="79">
        <v>0</v>
      </c>
      <c r="G216" s="79" t="s">
        <v>1</v>
      </c>
    </row>
    <row r="217" spans="1:7" x14ac:dyDescent="0.25">
      <c r="A217" s="1" t="s">
        <v>579</v>
      </c>
      <c r="B217" s="59" t="s">
        <v>144</v>
      </c>
      <c r="C217" s="59" t="s">
        <v>218</v>
      </c>
      <c r="D217" s="4">
        <f t="shared" si="61"/>
        <v>44</v>
      </c>
      <c r="E217" s="80" t="s">
        <v>1</v>
      </c>
      <c r="F217" s="80">
        <v>0</v>
      </c>
      <c r="G217" s="80" t="s">
        <v>1</v>
      </c>
    </row>
    <row r="218" spans="1:7" x14ac:dyDescent="0.25">
      <c r="A218" s="1" t="s">
        <v>580</v>
      </c>
      <c r="B218" s="59" t="s">
        <v>144</v>
      </c>
      <c r="C218" s="59" t="s">
        <v>242</v>
      </c>
      <c r="D218" s="4">
        <f t="shared" si="61"/>
        <v>33</v>
      </c>
      <c r="E218" s="81" t="s">
        <v>1</v>
      </c>
      <c r="F218" s="81">
        <v>0</v>
      </c>
      <c r="G218" s="81" t="s">
        <v>1</v>
      </c>
    </row>
    <row r="219" spans="1:7" x14ac:dyDescent="0.25">
      <c r="A219" s="1" t="s">
        <v>581</v>
      </c>
      <c r="B219" s="59" t="s">
        <v>144</v>
      </c>
      <c r="C219" s="59" t="s">
        <v>243</v>
      </c>
      <c r="D219" s="4">
        <f t="shared" si="61"/>
        <v>35</v>
      </c>
      <c r="E219" s="82" t="s">
        <v>1</v>
      </c>
      <c r="F219" s="82">
        <v>0</v>
      </c>
      <c r="G219" s="82" t="s">
        <v>1</v>
      </c>
    </row>
    <row r="220" spans="1:7" x14ac:dyDescent="0.25">
      <c r="A220" s="1" t="s">
        <v>582</v>
      </c>
      <c r="B220" s="59" t="s">
        <v>144</v>
      </c>
      <c r="C220" s="59" t="s">
        <v>244</v>
      </c>
      <c r="D220" s="4">
        <f t="shared" si="61"/>
        <v>38</v>
      </c>
      <c r="E220" s="83" t="s">
        <v>1</v>
      </c>
      <c r="F220" s="83">
        <v>0</v>
      </c>
      <c r="G220" s="83" t="s">
        <v>1</v>
      </c>
    </row>
    <row r="221" spans="1:7" x14ac:dyDescent="0.25">
      <c r="A221" s="1" t="s">
        <v>583</v>
      </c>
      <c r="B221" s="59" t="s">
        <v>144</v>
      </c>
      <c r="C221" s="59" t="s">
        <v>245</v>
      </c>
      <c r="D221" s="4">
        <f t="shared" si="61"/>
        <v>37</v>
      </c>
      <c r="E221" s="84" t="s">
        <v>1</v>
      </c>
      <c r="F221" s="84">
        <v>0</v>
      </c>
      <c r="G221" s="84" t="s">
        <v>1</v>
      </c>
    </row>
    <row r="222" spans="1:7" x14ac:dyDescent="0.25">
      <c r="A222" s="1" t="s">
        <v>584</v>
      </c>
      <c r="B222" s="59" t="s">
        <v>144</v>
      </c>
      <c r="C222" s="59" t="s">
        <v>246</v>
      </c>
      <c r="D222" s="4">
        <f t="shared" si="61"/>
        <v>40</v>
      </c>
      <c r="E222" s="85" t="s">
        <v>1</v>
      </c>
      <c r="F222" s="85">
        <v>0</v>
      </c>
      <c r="G222" s="85" t="s">
        <v>1</v>
      </c>
    </row>
    <row r="223" spans="1:7" x14ac:dyDescent="0.25">
      <c r="A223" s="1" t="s">
        <v>646</v>
      </c>
      <c r="B223" s="59" t="s">
        <v>144</v>
      </c>
      <c r="C223" s="59" t="s">
        <v>247</v>
      </c>
      <c r="D223" s="4">
        <f t="shared" si="61"/>
        <v>41</v>
      </c>
      <c r="E223" s="86" t="s">
        <v>1</v>
      </c>
      <c r="F223" s="86">
        <v>0</v>
      </c>
      <c r="G223" s="86" t="s">
        <v>1</v>
      </c>
    </row>
    <row r="224" spans="1:7" x14ac:dyDescent="0.25">
      <c r="A224" s="1" t="s">
        <v>647</v>
      </c>
      <c r="B224" s="59" t="s">
        <v>144</v>
      </c>
      <c r="C224" s="59" t="s">
        <v>248</v>
      </c>
      <c r="D224" s="4">
        <f t="shared" si="61"/>
        <v>36</v>
      </c>
      <c r="E224" s="87" t="s">
        <v>1</v>
      </c>
      <c r="F224" s="87">
        <v>0</v>
      </c>
      <c r="G224" s="87" t="s">
        <v>1</v>
      </c>
    </row>
    <row r="225" spans="1:8" x14ac:dyDescent="0.25">
      <c r="A225" s="1" t="s">
        <v>648</v>
      </c>
      <c r="B225" s="59" t="s">
        <v>144</v>
      </c>
      <c r="C225" s="59" t="s">
        <v>249</v>
      </c>
      <c r="D225" s="4">
        <f t="shared" si="61"/>
        <v>48</v>
      </c>
      <c r="E225" s="88" t="s">
        <v>1</v>
      </c>
      <c r="F225" s="88">
        <v>0</v>
      </c>
      <c r="G225" s="88" t="s">
        <v>1</v>
      </c>
    </row>
    <row r="226" spans="1:8" x14ac:dyDescent="0.25">
      <c r="A226" s="1" t="s">
        <v>649</v>
      </c>
      <c r="B226" s="59" t="s">
        <v>144</v>
      </c>
      <c r="C226" s="59" t="s">
        <v>250</v>
      </c>
      <c r="D226" s="4">
        <f t="shared" si="61"/>
        <v>40</v>
      </c>
      <c r="E226" s="89" t="s">
        <v>1</v>
      </c>
      <c r="F226" s="89">
        <v>0</v>
      </c>
      <c r="G226" s="89" t="s">
        <v>1</v>
      </c>
    </row>
    <row r="227" spans="1:8" x14ac:dyDescent="0.25">
      <c r="A227" s="1" t="s">
        <v>650</v>
      </c>
      <c r="B227" s="59" t="s">
        <v>144</v>
      </c>
      <c r="C227" s="59" t="s">
        <v>251</v>
      </c>
      <c r="D227" s="4">
        <f t="shared" si="61"/>
        <v>43</v>
      </c>
      <c r="E227" s="90" t="s">
        <v>1</v>
      </c>
      <c r="F227" s="90">
        <v>0</v>
      </c>
      <c r="G227" s="90" t="s">
        <v>1</v>
      </c>
    </row>
    <row r="228" spans="1:8" x14ac:dyDescent="0.25">
      <c r="A228" s="1" t="s">
        <v>651</v>
      </c>
      <c r="B228" s="59" t="s">
        <v>144</v>
      </c>
      <c r="C228" s="59" t="s">
        <v>252</v>
      </c>
      <c r="D228" s="4">
        <f t="shared" si="61"/>
        <v>47</v>
      </c>
      <c r="E228" s="91" t="s">
        <v>1</v>
      </c>
      <c r="F228" s="91">
        <v>0</v>
      </c>
      <c r="G228" s="91" t="s">
        <v>1</v>
      </c>
    </row>
    <row r="229" spans="1:8" x14ac:dyDescent="0.25">
      <c r="A229" s="60" t="s">
        <v>143</v>
      </c>
      <c r="B229" s="60" t="s">
        <v>4</v>
      </c>
      <c r="C229" s="60" t="s">
        <v>5</v>
      </c>
      <c r="D229" s="4">
        <f t="shared" si="61"/>
        <v>7</v>
      </c>
      <c r="E229" s="60" t="s">
        <v>6</v>
      </c>
      <c r="F229" s="60" t="s">
        <v>7</v>
      </c>
      <c r="G229" s="60" t="s">
        <v>31</v>
      </c>
      <c r="H229" s="60" t="s">
        <v>39</v>
      </c>
    </row>
    <row r="230" spans="1:8" x14ac:dyDescent="0.25">
      <c r="A230" s="1" t="s">
        <v>253</v>
      </c>
      <c r="B230" s="61" t="s">
        <v>144</v>
      </c>
      <c r="C230" s="61" t="s">
        <v>254</v>
      </c>
      <c r="D230" s="4">
        <f t="shared" si="61"/>
        <v>42</v>
      </c>
      <c r="E230" s="92" t="s">
        <v>1</v>
      </c>
      <c r="F230" s="92">
        <v>0</v>
      </c>
      <c r="G230" s="92" t="s">
        <v>1</v>
      </c>
    </row>
    <row r="231" spans="1:8" x14ac:dyDescent="0.25">
      <c r="A231" s="1" t="s">
        <v>255</v>
      </c>
      <c r="B231" s="61" t="s">
        <v>144</v>
      </c>
      <c r="C231" s="61" t="s">
        <v>256</v>
      </c>
      <c r="D231" s="4">
        <f t="shared" si="61"/>
        <v>42</v>
      </c>
      <c r="E231" s="93" t="s">
        <v>1</v>
      </c>
      <c r="F231" s="93">
        <v>0</v>
      </c>
      <c r="G231" s="93" t="s">
        <v>1</v>
      </c>
    </row>
    <row r="232" spans="1:8" x14ac:dyDescent="0.25">
      <c r="A232" s="1" t="s">
        <v>257</v>
      </c>
      <c r="B232" s="61" t="s">
        <v>144</v>
      </c>
      <c r="C232" s="61" t="s">
        <v>258</v>
      </c>
      <c r="D232" s="4">
        <f t="shared" si="61"/>
        <v>37</v>
      </c>
      <c r="E232" s="94" t="s">
        <v>1</v>
      </c>
      <c r="F232" s="94">
        <v>0</v>
      </c>
      <c r="G232" s="94" t="s">
        <v>1</v>
      </c>
    </row>
    <row r="233" spans="1:8" x14ac:dyDescent="0.25">
      <c r="A233" s="1" t="s">
        <v>585</v>
      </c>
      <c r="B233" s="61" t="s">
        <v>144</v>
      </c>
      <c r="C233" s="61" t="s">
        <v>259</v>
      </c>
      <c r="D233" s="4">
        <f t="shared" si="61"/>
        <v>33</v>
      </c>
      <c r="E233" s="95" t="s">
        <v>1</v>
      </c>
      <c r="F233" s="95">
        <v>0</v>
      </c>
      <c r="G233" s="95" t="s">
        <v>1</v>
      </c>
    </row>
    <row r="234" spans="1:8" x14ac:dyDescent="0.25">
      <c r="A234" s="1" t="s">
        <v>586</v>
      </c>
      <c r="B234" s="61" t="s">
        <v>144</v>
      </c>
      <c r="C234" s="61" t="s">
        <v>260</v>
      </c>
      <c r="D234" s="4">
        <f t="shared" si="61"/>
        <v>44</v>
      </c>
      <c r="E234" s="96" t="s">
        <v>1</v>
      </c>
      <c r="F234" s="96">
        <v>0</v>
      </c>
      <c r="G234" s="96" t="s">
        <v>1</v>
      </c>
    </row>
    <row r="235" spans="1:8" x14ac:dyDescent="0.25">
      <c r="A235" s="1" t="s">
        <v>587</v>
      </c>
      <c r="B235" s="61" t="s">
        <v>144</v>
      </c>
      <c r="C235" s="61" t="s">
        <v>261</v>
      </c>
      <c r="D235" s="4">
        <f t="shared" si="61"/>
        <v>41</v>
      </c>
      <c r="E235" s="97" t="s">
        <v>1</v>
      </c>
      <c r="F235" s="97">
        <v>0</v>
      </c>
      <c r="G235" s="97" t="s">
        <v>1</v>
      </c>
    </row>
    <row r="236" spans="1:8" x14ac:dyDescent="0.25">
      <c r="A236" s="1" t="s">
        <v>588</v>
      </c>
      <c r="B236" s="61" t="s">
        <v>144</v>
      </c>
      <c r="C236" s="61" t="s">
        <v>262</v>
      </c>
      <c r="D236" s="4">
        <f t="shared" ref="D236:D260" si="69">LEN(C236)</f>
        <v>37</v>
      </c>
      <c r="E236" s="98" t="s">
        <v>1</v>
      </c>
      <c r="F236" s="98">
        <v>0</v>
      </c>
      <c r="G236" s="98" t="s">
        <v>1</v>
      </c>
    </row>
    <row r="237" spans="1:8" x14ac:dyDescent="0.25">
      <c r="A237" s="1" t="s">
        <v>589</v>
      </c>
      <c r="B237" s="61" t="s">
        <v>144</v>
      </c>
      <c r="C237" s="61" t="s">
        <v>263</v>
      </c>
      <c r="D237" s="4">
        <f t="shared" si="69"/>
        <v>23</v>
      </c>
      <c r="E237" s="99" t="s">
        <v>1</v>
      </c>
      <c r="F237" s="99">
        <v>0</v>
      </c>
      <c r="G237" s="99" t="s">
        <v>1</v>
      </c>
    </row>
    <row r="238" spans="1:8" x14ac:dyDescent="0.25">
      <c r="A238" s="1" t="s">
        <v>590</v>
      </c>
      <c r="B238" s="61" t="s">
        <v>144</v>
      </c>
      <c r="C238" s="61" t="s">
        <v>264</v>
      </c>
      <c r="D238" s="4">
        <f t="shared" si="69"/>
        <v>31</v>
      </c>
      <c r="E238" s="100" t="s">
        <v>1</v>
      </c>
      <c r="F238" s="100">
        <v>0</v>
      </c>
      <c r="G238" s="100" t="s">
        <v>1</v>
      </c>
    </row>
    <row r="239" spans="1:8" x14ac:dyDescent="0.25">
      <c r="A239" s="1" t="s">
        <v>591</v>
      </c>
      <c r="B239" s="61" t="s">
        <v>144</v>
      </c>
      <c r="C239" s="61" t="s">
        <v>265</v>
      </c>
      <c r="D239" s="4">
        <f t="shared" si="69"/>
        <v>31</v>
      </c>
      <c r="E239" s="101" t="s">
        <v>1</v>
      </c>
      <c r="F239" s="101">
        <v>0</v>
      </c>
      <c r="G239" s="101" t="s">
        <v>1</v>
      </c>
    </row>
    <row r="240" spans="1:8" x14ac:dyDescent="0.25">
      <c r="A240" s="1" t="s">
        <v>592</v>
      </c>
      <c r="B240" s="61" t="s">
        <v>144</v>
      </c>
      <c r="C240" s="61" t="s">
        <v>266</v>
      </c>
      <c r="D240" s="4">
        <f t="shared" si="69"/>
        <v>42</v>
      </c>
      <c r="E240" s="102" t="s">
        <v>1</v>
      </c>
      <c r="F240" s="102">
        <v>0</v>
      </c>
      <c r="G240" s="102" t="s">
        <v>1</v>
      </c>
    </row>
    <row r="241" spans="1:7" x14ac:dyDescent="0.25">
      <c r="A241" s="1" t="s">
        <v>593</v>
      </c>
      <c r="B241" s="61" t="s">
        <v>144</v>
      </c>
      <c r="C241" s="61" t="s">
        <v>267</v>
      </c>
      <c r="D241" s="4">
        <f t="shared" si="69"/>
        <v>45</v>
      </c>
      <c r="E241" s="103" t="s">
        <v>1</v>
      </c>
      <c r="F241" s="103">
        <v>0</v>
      </c>
      <c r="G241" s="103" t="s">
        <v>1</v>
      </c>
    </row>
    <row r="242" spans="1:7" x14ac:dyDescent="0.25">
      <c r="A242" s="1" t="s">
        <v>594</v>
      </c>
      <c r="B242" s="61" t="s">
        <v>144</v>
      </c>
      <c r="C242" s="61" t="s">
        <v>268</v>
      </c>
      <c r="D242" s="4">
        <f t="shared" si="69"/>
        <v>48</v>
      </c>
      <c r="E242" s="104" t="s">
        <v>1</v>
      </c>
      <c r="F242" s="104">
        <v>0</v>
      </c>
      <c r="G242" s="104" t="s">
        <v>1</v>
      </c>
    </row>
    <row r="243" spans="1:7" x14ac:dyDescent="0.25">
      <c r="A243" s="1" t="s">
        <v>595</v>
      </c>
      <c r="B243" s="61" t="s">
        <v>144</v>
      </c>
      <c r="C243" s="61" t="s">
        <v>269</v>
      </c>
      <c r="D243" s="4">
        <f t="shared" si="69"/>
        <v>49</v>
      </c>
      <c r="E243" s="105" t="s">
        <v>1</v>
      </c>
      <c r="F243" s="105">
        <v>0</v>
      </c>
      <c r="G243" s="105" t="s">
        <v>1</v>
      </c>
    </row>
    <row r="244" spans="1:7" x14ac:dyDescent="0.25">
      <c r="A244" s="1" t="s">
        <v>596</v>
      </c>
      <c r="B244" s="61" t="s">
        <v>144</v>
      </c>
      <c r="C244" s="61" t="s">
        <v>270</v>
      </c>
      <c r="D244" s="4">
        <f t="shared" si="69"/>
        <v>49</v>
      </c>
      <c r="E244" s="106" t="s">
        <v>1</v>
      </c>
      <c r="F244" s="106">
        <v>0</v>
      </c>
      <c r="G244" s="106" t="s">
        <v>1</v>
      </c>
    </row>
    <row r="245" spans="1:7" x14ac:dyDescent="0.25">
      <c r="A245" s="1" t="s">
        <v>597</v>
      </c>
      <c r="B245" s="61" t="s">
        <v>144</v>
      </c>
      <c r="C245" s="61" t="s">
        <v>258</v>
      </c>
      <c r="D245" s="4">
        <f t="shared" si="69"/>
        <v>37</v>
      </c>
      <c r="E245" s="107" t="s">
        <v>1</v>
      </c>
      <c r="F245" s="107">
        <v>0</v>
      </c>
      <c r="G245" s="107" t="s">
        <v>1</v>
      </c>
    </row>
    <row r="246" spans="1:7" x14ac:dyDescent="0.25">
      <c r="A246" s="1" t="s">
        <v>636</v>
      </c>
      <c r="B246" s="61" t="s">
        <v>144</v>
      </c>
      <c r="C246" s="61" t="s">
        <v>271</v>
      </c>
      <c r="D246" s="4">
        <f t="shared" si="69"/>
        <v>28</v>
      </c>
      <c r="E246" s="108" t="s">
        <v>1</v>
      </c>
      <c r="F246" s="108">
        <v>0</v>
      </c>
      <c r="G246" s="108" t="s">
        <v>1</v>
      </c>
    </row>
    <row r="247" spans="1:7" x14ac:dyDescent="0.25">
      <c r="A247" s="1" t="s">
        <v>637</v>
      </c>
      <c r="B247" s="61" t="s">
        <v>144</v>
      </c>
      <c r="C247" s="61" t="s">
        <v>272</v>
      </c>
      <c r="D247" s="4">
        <f t="shared" si="69"/>
        <v>48</v>
      </c>
      <c r="E247" s="109" t="s">
        <v>1</v>
      </c>
      <c r="F247" s="109">
        <v>0</v>
      </c>
      <c r="G247" s="109" t="s">
        <v>1</v>
      </c>
    </row>
    <row r="248" spans="1:7" x14ac:dyDescent="0.25">
      <c r="A248" s="1" t="s">
        <v>638</v>
      </c>
      <c r="B248" s="61" t="s">
        <v>144</v>
      </c>
      <c r="C248" s="61" t="s">
        <v>273</v>
      </c>
      <c r="D248" s="4">
        <f t="shared" si="69"/>
        <v>42</v>
      </c>
      <c r="E248" s="110" t="s">
        <v>1</v>
      </c>
      <c r="F248" s="110">
        <v>0</v>
      </c>
      <c r="G248" s="110" t="s">
        <v>1</v>
      </c>
    </row>
    <row r="249" spans="1:7" x14ac:dyDescent="0.25">
      <c r="A249" s="1" t="s">
        <v>639</v>
      </c>
      <c r="B249" s="61" t="s">
        <v>144</v>
      </c>
      <c r="C249" s="61" t="s">
        <v>274</v>
      </c>
      <c r="D249" s="4">
        <f t="shared" si="69"/>
        <v>45</v>
      </c>
      <c r="E249" s="110" t="s">
        <v>1</v>
      </c>
      <c r="F249" s="110">
        <v>0</v>
      </c>
      <c r="G249" s="110" t="s">
        <v>1</v>
      </c>
    </row>
    <row r="250" spans="1:7" x14ac:dyDescent="0.25">
      <c r="A250" s="1" t="s">
        <v>640</v>
      </c>
      <c r="B250" s="61" t="s">
        <v>144</v>
      </c>
      <c r="C250" s="61" t="s">
        <v>275</v>
      </c>
      <c r="D250" s="4">
        <f t="shared" si="69"/>
        <v>38</v>
      </c>
      <c r="E250" s="110" t="s">
        <v>1</v>
      </c>
      <c r="F250" s="110">
        <v>0</v>
      </c>
      <c r="G250" s="110" t="s">
        <v>1</v>
      </c>
    </row>
    <row r="251" spans="1:7" x14ac:dyDescent="0.25">
      <c r="A251" s="1" t="s">
        <v>641</v>
      </c>
      <c r="B251" s="61" t="s">
        <v>144</v>
      </c>
      <c r="C251" s="61" t="s">
        <v>276</v>
      </c>
      <c r="D251" s="4">
        <f t="shared" si="69"/>
        <v>39</v>
      </c>
      <c r="E251" s="110" t="s">
        <v>1</v>
      </c>
      <c r="F251" s="110">
        <v>0</v>
      </c>
      <c r="G251" s="110" t="s">
        <v>1</v>
      </c>
    </row>
    <row r="252" spans="1:7" x14ac:dyDescent="0.25">
      <c r="A252" s="1" t="s">
        <v>642</v>
      </c>
      <c r="B252" s="61" t="s">
        <v>144</v>
      </c>
      <c r="C252" s="61" t="s">
        <v>277</v>
      </c>
      <c r="D252" s="4">
        <f t="shared" si="69"/>
        <v>34</v>
      </c>
      <c r="E252" s="110" t="s">
        <v>1</v>
      </c>
      <c r="F252" s="110">
        <v>0</v>
      </c>
      <c r="G252" s="110" t="s">
        <v>1</v>
      </c>
    </row>
    <row r="253" spans="1:7" x14ac:dyDescent="0.25">
      <c r="A253" s="1" t="s">
        <v>643</v>
      </c>
      <c r="B253" s="61" t="s">
        <v>144</v>
      </c>
      <c r="C253" s="61" t="s">
        <v>278</v>
      </c>
      <c r="D253" s="4">
        <f t="shared" si="69"/>
        <v>44</v>
      </c>
      <c r="E253" s="110" t="s">
        <v>1</v>
      </c>
      <c r="F253" s="110">
        <v>0</v>
      </c>
      <c r="G253" s="110" t="s">
        <v>1</v>
      </c>
    </row>
    <row r="254" spans="1:7" x14ac:dyDescent="0.25">
      <c r="A254" s="1" t="s">
        <v>644</v>
      </c>
      <c r="B254" s="61" t="s">
        <v>144</v>
      </c>
      <c r="C254" s="61" t="s">
        <v>279</v>
      </c>
      <c r="D254" s="4">
        <f t="shared" si="69"/>
        <v>43</v>
      </c>
      <c r="E254" s="110" t="s">
        <v>1</v>
      </c>
      <c r="F254" s="110">
        <v>0</v>
      </c>
      <c r="G254" s="110" t="s">
        <v>1</v>
      </c>
    </row>
    <row r="255" spans="1:7" x14ac:dyDescent="0.25">
      <c r="A255" s="1" t="s">
        <v>645</v>
      </c>
      <c r="B255" s="61" t="s">
        <v>144</v>
      </c>
      <c r="C255" s="61" t="s">
        <v>280</v>
      </c>
      <c r="D255" s="4">
        <f t="shared" si="69"/>
        <v>41</v>
      </c>
      <c r="E255" s="110" t="s">
        <v>1</v>
      </c>
      <c r="F255" s="110">
        <v>0</v>
      </c>
      <c r="G255" s="110" t="s">
        <v>1</v>
      </c>
    </row>
    <row r="256" spans="1:7" x14ac:dyDescent="0.25">
      <c r="A256" s="1" t="s">
        <v>598</v>
      </c>
      <c r="B256" s="61" t="s">
        <v>144</v>
      </c>
      <c r="C256" s="61" t="s">
        <v>281</v>
      </c>
      <c r="D256" s="4">
        <f t="shared" si="69"/>
        <v>39</v>
      </c>
      <c r="E256" s="110" t="s">
        <v>1</v>
      </c>
      <c r="F256" s="110">
        <v>0</v>
      </c>
      <c r="G256" s="110" t="s">
        <v>1</v>
      </c>
    </row>
    <row r="257" spans="1:13" x14ac:dyDescent="0.25">
      <c r="A257" s="111" t="s">
        <v>201</v>
      </c>
      <c r="B257" s="111" t="s">
        <v>4</v>
      </c>
      <c r="C257" s="111" t="s">
        <v>5</v>
      </c>
      <c r="D257" s="4">
        <f t="shared" si="69"/>
        <v>7</v>
      </c>
      <c r="E257" s="111" t="s">
        <v>6</v>
      </c>
      <c r="F257" s="111" t="s">
        <v>7</v>
      </c>
      <c r="G257" s="111" t="s">
        <v>31</v>
      </c>
      <c r="H257" s="111" t="s">
        <v>39</v>
      </c>
    </row>
    <row r="258" spans="1:13" x14ac:dyDescent="0.25">
      <c r="A258" s="112" t="s">
        <v>282</v>
      </c>
      <c r="B258" s="112" t="s">
        <v>144</v>
      </c>
      <c r="C258" s="112" t="s">
        <v>283</v>
      </c>
      <c r="D258" s="4">
        <f t="shared" si="69"/>
        <v>36</v>
      </c>
      <c r="E258" s="112" t="s">
        <v>1</v>
      </c>
      <c r="F258" s="112">
        <v>0</v>
      </c>
      <c r="G258" s="112" t="s">
        <v>1</v>
      </c>
      <c r="H258" s="112"/>
    </row>
    <row r="259" spans="1:13" x14ac:dyDescent="0.25">
      <c r="A259" s="113" t="s">
        <v>204</v>
      </c>
      <c r="B259" s="113" t="s">
        <v>4</v>
      </c>
      <c r="C259" s="113" t="s">
        <v>5</v>
      </c>
      <c r="D259" s="4">
        <f t="shared" si="69"/>
        <v>7</v>
      </c>
      <c r="E259" s="113" t="s">
        <v>39</v>
      </c>
      <c r="F259" s="113"/>
      <c r="G259" s="113"/>
      <c r="H259" s="113"/>
      <c r="I259" s="113"/>
      <c r="J259" s="113"/>
      <c r="K259" s="113"/>
      <c r="L259" s="113"/>
      <c r="M259" s="113"/>
    </row>
    <row r="260" spans="1:13" x14ac:dyDescent="0.25">
      <c r="A260" s="114" t="s">
        <v>600</v>
      </c>
      <c r="B260" s="114" t="s">
        <v>144</v>
      </c>
      <c r="C260" s="114" t="s">
        <v>284</v>
      </c>
      <c r="D260" s="4">
        <f t="shared" si="69"/>
        <v>21</v>
      </c>
    </row>
  </sheetData>
  <conditionalFormatting sqref="D15 D29 D32 D34:D41 D44:D50 D17 D27 D6:D7">
    <cfRule type="cellIs" dxfId="166" priority="115" operator="greaterThan">
      <formula>49</formula>
    </cfRule>
  </conditionalFormatting>
  <conditionalFormatting sqref="D28">
    <cfRule type="cellIs" dxfId="165" priority="108" operator="greaterThan">
      <formula>49</formula>
    </cfRule>
  </conditionalFormatting>
  <conditionalFormatting sqref="D30">
    <cfRule type="cellIs" dxfId="164" priority="107" operator="greaterThan">
      <formula>49</formula>
    </cfRule>
  </conditionalFormatting>
  <conditionalFormatting sqref="D31">
    <cfRule type="cellIs" dxfId="163" priority="106" operator="greaterThan">
      <formula>49</formula>
    </cfRule>
  </conditionalFormatting>
  <conditionalFormatting sqref="D9:D12 D14">
    <cfRule type="cellIs" dxfId="162" priority="105" operator="greaterThan">
      <formula>49</formula>
    </cfRule>
  </conditionalFormatting>
  <conditionalFormatting sqref="D3:D5">
    <cfRule type="cellIs" dxfId="161" priority="104" operator="greaterThan">
      <formula>49</formula>
    </cfRule>
  </conditionalFormatting>
  <conditionalFormatting sqref="D33">
    <cfRule type="cellIs" dxfId="160" priority="103" operator="greaterThan">
      <formula>49</formula>
    </cfRule>
  </conditionalFormatting>
  <conditionalFormatting sqref="D21">
    <cfRule type="cellIs" dxfId="159" priority="87" operator="greaterThan">
      <formula>49</formula>
    </cfRule>
  </conditionalFormatting>
  <conditionalFormatting sqref="D42">
    <cfRule type="cellIs" dxfId="158" priority="95" operator="greaterThan">
      <formula>49</formula>
    </cfRule>
  </conditionalFormatting>
  <conditionalFormatting sqref="D16">
    <cfRule type="cellIs" dxfId="157" priority="92" operator="greaterThan">
      <formula>49</formula>
    </cfRule>
  </conditionalFormatting>
  <conditionalFormatting sqref="D43">
    <cfRule type="cellIs" dxfId="156" priority="94" operator="greaterThan">
      <formula>49</formula>
    </cfRule>
  </conditionalFormatting>
  <conditionalFormatting sqref="D13">
    <cfRule type="cellIs" dxfId="155" priority="93" operator="greaterThan">
      <formula>49</formula>
    </cfRule>
  </conditionalFormatting>
  <conditionalFormatting sqref="D18">
    <cfRule type="cellIs" dxfId="154" priority="91" operator="greaterThan">
      <formula>49</formula>
    </cfRule>
  </conditionalFormatting>
  <conditionalFormatting sqref="D19">
    <cfRule type="cellIs" dxfId="153" priority="90" operator="greaterThan">
      <formula>49</formula>
    </cfRule>
  </conditionalFormatting>
  <conditionalFormatting sqref="D20">
    <cfRule type="cellIs" dxfId="152" priority="89" operator="greaterThan">
      <formula>49</formula>
    </cfRule>
  </conditionalFormatting>
  <conditionalFormatting sqref="D22">
    <cfRule type="cellIs" dxfId="151" priority="88" operator="greaterThan">
      <formula>49</formula>
    </cfRule>
  </conditionalFormatting>
  <conditionalFormatting sqref="D65">
    <cfRule type="cellIs" dxfId="150" priority="74" operator="greaterThan">
      <formula>49</formula>
    </cfRule>
  </conditionalFormatting>
  <conditionalFormatting sqref="D23">
    <cfRule type="cellIs" dxfId="149" priority="86" operator="greaterThan">
      <formula>49</formula>
    </cfRule>
  </conditionalFormatting>
  <conditionalFormatting sqref="D26">
    <cfRule type="cellIs" dxfId="148" priority="83" operator="greaterThan">
      <formula>49</formula>
    </cfRule>
  </conditionalFormatting>
  <conditionalFormatting sqref="D25">
    <cfRule type="cellIs" dxfId="147" priority="85" operator="greaterThan">
      <formula>49</formula>
    </cfRule>
  </conditionalFormatting>
  <conditionalFormatting sqref="D24">
    <cfRule type="cellIs" dxfId="146" priority="84" operator="greaterThan">
      <formula>49</formula>
    </cfRule>
  </conditionalFormatting>
  <conditionalFormatting sqref="D51:D54 D56:D60">
    <cfRule type="cellIs" dxfId="145" priority="82" operator="greaterThan">
      <formula>49</formula>
    </cfRule>
  </conditionalFormatting>
  <conditionalFormatting sqref="D55">
    <cfRule type="cellIs" dxfId="144" priority="81" operator="greaterThan">
      <formula>49</formula>
    </cfRule>
  </conditionalFormatting>
  <conditionalFormatting sqref="D61">
    <cfRule type="cellIs" dxfId="143" priority="78" operator="greaterThan">
      <formula>49</formula>
    </cfRule>
  </conditionalFormatting>
  <conditionalFormatting sqref="D62">
    <cfRule type="cellIs" dxfId="142" priority="77" operator="greaterThan">
      <formula>49</formula>
    </cfRule>
  </conditionalFormatting>
  <conditionalFormatting sqref="D63">
    <cfRule type="cellIs" dxfId="141" priority="76" operator="greaterThan">
      <formula>49</formula>
    </cfRule>
  </conditionalFormatting>
  <conditionalFormatting sqref="D64">
    <cfRule type="cellIs" dxfId="140" priority="75" operator="greaterThan">
      <formula>49</formula>
    </cfRule>
  </conditionalFormatting>
  <conditionalFormatting sqref="D66">
    <cfRule type="cellIs" dxfId="139" priority="73" operator="greaterThan">
      <formula>49</formula>
    </cfRule>
  </conditionalFormatting>
  <conditionalFormatting sqref="D67">
    <cfRule type="cellIs" dxfId="138" priority="72" operator="greaterThan">
      <formula>49</formula>
    </cfRule>
  </conditionalFormatting>
  <conditionalFormatting sqref="D70">
    <cfRule type="cellIs" dxfId="137" priority="61" operator="greaterThan">
      <formula>49</formula>
    </cfRule>
  </conditionalFormatting>
  <conditionalFormatting sqref="D71">
    <cfRule type="cellIs" dxfId="136" priority="60" operator="greaterThan">
      <formula>49</formula>
    </cfRule>
  </conditionalFormatting>
  <conditionalFormatting sqref="D72">
    <cfRule type="cellIs" dxfId="135" priority="59" operator="greaterThan">
      <formula>49</formula>
    </cfRule>
  </conditionalFormatting>
  <conditionalFormatting sqref="D73">
    <cfRule type="cellIs" dxfId="134" priority="58" operator="greaterThan">
      <formula>49</formula>
    </cfRule>
  </conditionalFormatting>
  <conditionalFormatting sqref="D74">
    <cfRule type="cellIs" dxfId="133" priority="57" operator="greaterThan">
      <formula>49</formula>
    </cfRule>
  </conditionalFormatting>
  <conditionalFormatting sqref="D75">
    <cfRule type="cellIs" dxfId="132" priority="56" operator="greaterThan">
      <formula>49</formula>
    </cfRule>
  </conditionalFormatting>
  <conditionalFormatting sqref="D76">
    <cfRule type="cellIs" dxfId="131" priority="55" operator="greaterThan">
      <formula>49</formula>
    </cfRule>
  </conditionalFormatting>
  <conditionalFormatting sqref="D69">
    <cfRule type="cellIs" dxfId="130" priority="45" operator="greaterThan">
      <formula>49</formula>
    </cfRule>
  </conditionalFormatting>
  <conditionalFormatting sqref="D68">
    <cfRule type="cellIs" dxfId="129" priority="44" operator="greaterThan">
      <formula>49</formula>
    </cfRule>
  </conditionalFormatting>
  <conditionalFormatting sqref="D78">
    <cfRule type="cellIs" dxfId="128" priority="43" operator="greaterThan">
      <formula>49</formula>
    </cfRule>
  </conditionalFormatting>
  <conditionalFormatting sqref="D77">
    <cfRule type="cellIs" dxfId="127" priority="42" operator="greaterThan">
      <formula>49</formula>
    </cfRule>
  </conditionalFormatting>
  <conditionalFormatting sqref="D81 D83">
    <cfRule type="cellIs" dxfId="126" priority="40" operator="greaterThan">
      <formula>49</formula>
    </cfRule>
  </conditionalFormatting>
  <conditionalFormatting sqref="D80">
    <cfRule type="cellIs" dxfId="125" priority="39" operator="greaterThan">
      <formula>49</formula>
    </cfRule>
  </conditionalFormatting>
  <conditionalFormatting sqref="D82">
    <cfRule type="cellIs" dxfId="124" priority="37" operator="greaterThan">
      <formula>49</formula>
    </cfRule>
  </conditionalFormatting>
  <conditionalFormatting sqref="D79">
    <cfRule type="cellIs" dxfId="123" priority="38" operator="greaterThan">
      <formula>49</formula>
    </cfRule>
  </conditionalFormatting>
  <conditionalFormatting sqref="D84">
    <cfRule type="cellIs" dxfId="122" priority="36" operator="greaterThan">
      <formula>49</formula>
    </cfRule>
  </conditionalFormatting>
  <conditionalFormatting sqref="D85">
    <cfRule type="cellIs" dxfId="121" priority="35" operator="greaterThan">
      <formula>49</formula>
    </cfRule>
  </conditionalFormatting>
  <conditionalFormatting sqref="D86">
    <cfRule type="cellIs" dxfId="120" priority="34" operator="greaterThan">
      <formula>49</formula>
    </cfRule>
  </conditionalFormatting>
  <conditionalFormatting sqref="D88">
    <cfRule type="cellIs" dxfId="119" priority="33" operator="greaterThan">
      <formula>49</formula>
    </cfRule>
  </conditionalFormatting>
  <conditionalFormatting sqref="D87">
    <cfRule type="cellIs" dxfId="118" priority="32" operator="greaterThan">
      <formula>49</formula>
    </cfRule>
  </conditionalFormatting>
  <conditionalFormatting sqref="D89">
    <cfRule type="cellIs" dxfId="117" priority="31" operator="greaterThan">
      <formula>49</formula>
    </cfRule>
  </conditionalFormatting>
  <conditionalFormatting sqref="D92">
    <cfRule type="cellIs" dxfId="116" priority="28" operator="greaterThan">
      <formula>49</formula>
    </cfRule>
  </conditionalFormatting>
  <conditionalFormatting sqref="D91">
    <cfRule type="cellIs" dxfId="115" priority="30" operator="greaterThan">
      <formula>49</formula>
    </cfRule>
  </conditionalFormatting>
  <conditionalFormatting sqref="D90">
    <cfRule type="cellIs" dxfId="114" priority="29" operator="greaterThan">
      <formula>49</formula>
    </cfRule>
  </conditionalFormatting>
  <conditionalFormatting sqref="D95 D97">
    <cfRule type="cellIs" dxfId="113" priority="27" operator="greaterThan">
      <formula>49</formula>
    </cfRule>
  </conditionalFormatting>
  <conditionalFormatting sqref="D94">
    <cfRule type="cellIs" dxfId="112" priority="26" operator="greaterThan">
      <formula>49</formula>
    </cfRule>
  </conditionalFormatting>
  <conditionalFormatting sqref="D96">
    <cfRule type="cellIs" dxfId="111" priority="24" operator="greaterThan">
      <formula>49</formula>
    </cfRule>
  </conditionalFormatting>
  <conditionalFormatting sqref="D93">
    <cfRule type="cellIs" dxfId="110" priority="25" operator="greaterThan">
      <formula>49</formula>
    </cfRule>
  </conditionalFormatting>
  <conditionalFormatting sqref="D98">
    <cfRule type="cellIs" dxfId="109" priority="23" operator="greaterThan">
      <formula>49</formula>
    </cfRule>
  </conditionalFormatting>
  <conditionalFormatting sqref="D99">
    <cfRule type="cellIs" dxfId="108" priority="22" operator="greaterThan">
      <formula>49</formula>
    </cfRule>
  </conditionalFormatting>
  <conditionalFormatting sqref="D100">
    <cfRule type="cellIs" dxfId="107" priority="21" operator="greaterThan">
      <formula>49</formula>
    </cfRule>
  </conditionalFormatting>
  <conditionalFormatting sqref="D102">
    <cfRule type="cellIs" dxfId="106" priority="20" operator="greaterThan">
      <formula>49</formula>
    </cfRule>
  </conditionalFormatting>
  <conditionalFormatting sqref="D101">
    <cfRule type="cellIs" dxfId="105" priority="19" operator="greaterThan">
      <formula>49</formula>
    </cfRule>
  </conditionalFormatting>
  <conditionalFormatting sqref="D103">
    <cfRule type="cellIs" dxfId="104" priority="18" operator="greaterThan">
      <formula>49</formula>
    </cfRule>
  </conditionalFormatting>
  <conditionalFormatting sqref="D106">
    <cfRule type="cellIs" dxfId="103" priority="15" operator="greaterThan">
      <formula>49</formula>
    </cfRule>
  </conditionalFormatting>
  <conditionalFormatting sqref="D105">
    <cfRule type="cellIs" dxfId="102" priority="17" operator="greaterThan">
      <formula>49</formula>
    </cfRule>
  </conditionalFormatting>
  <conditionalFormatting sqref="D104">
    <cfRule type="cellIs" dxfId="101" priority="16" operator="greaterThan">
      <formula>49</formula>
    </cfRule>
  </conditionalFormatting>
  <conditionalFormatting sqref="D109">
    <cfRule type="cellIs" dxfId="100" priority="14" operator="greaterThan">
      <formula>49</formula>
    </cfRule>
  </conditionalFormatting>
  <conditionalFormatting sqref="D108">
    <cfRule type="cellIs" dxfId="99" priority="13" operator="greaterThan">
      <formula>49</formula>
    </cfRule>
  </conditionalFormatting>
  <conditionalFormatting sqref="D110:D124 D126:D260">
    <cfRule type="cellIs" dxfId="98" priority="11" operator="greaterThan">
      <formula>49</formula>
    </cfRule>
  </conditionalFormatting>
  <conditionalFormatting sqref="D107">
    <cfRule type="cellIs" dxfId="97" priority="12" operator="greaterThan">
      <formula>49</formula>
    </cfRule>
  </conditionalFormatting>
  <conditionalFormatting sqref="D125">
    <cfRule type="cellIs" dxfId="96" priority="1" operator="greaterThan">
      <formula>49</formula>
    </cfRule>
  </conditionalFormatting>
  <pageMargins left="0.7" right="0.7" top="0.97222222222222221" bottom="0.75" header="0.3" footer="0.3"/>
  <pageSetup orientation="portrait" r:id="rId1"/>
  <headerFooter>
    <oddHeader>&amp;L&amp;"Times New Roman,Regular"Regional Municipality of Halton  
SCADA Standards Manual Section 6 HMI Programming
Appendix 6A HMI Tag Template&amp;R&amp;"Times New Roman,Regular"SCADA STANDARDS 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24"/>
  <sheetViews>
    <sheetView topLeftCell="A100" zoomScaleNormal="100" workbookViewId="0">
      <selection activeCell="A94" sqref="A94"/>
    </sheetView>
  </sheetViews>
  <sheetFormatPr defaultRowHeight="15" x14ac:dyDescent="0.25"/>
  <cols>
    <col min="1" max="1" width="22.85546875" bestFit="1" customWidth="1"/>
    <col min="2" max="2" width="16" bestFit="1" customWidth="1"/>
    <col min="3" max="3" width="24.7109375" customWidth="1"/>
    <col min="4" max="4" width="5.5703125" style="4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25.140625" bestFit="1" customWidth="1"/>
    <col min="11" max="12" width="18.140625" bestFit="1" customWidth="1"/>
    <col min="13" max="13" width="22.140625" bestFit="1" customWidth="1"/>
    <col min="14" max="14" width="15" bestFit="1" customWidth="1"/>
    <col min="15" max="15" width="45.42578125" bestFit="1" customWidth="1"/>
    <col min="16" max="16" width="15.42578125" bestFit="1" customWidth="1"/>
    <col min="17" max="17" width="25.28515625" bestFit="1" customWidth="1"/>
    <col min="18" max="18" width="16.140625" bestFit="1" customWidth="1"/>
    <col min="19" max="19" width="41.7109375" bestFit="1" customWidth="1"/>
    <col min="20" max="20" width="19.140625" bestFit="1" customWidth="1"/>
    <col min="21" max="21" width="15.855468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13.85546875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21.7109375" bestFit="1" customWidth="1"/>
    <col min="47" max="47" width="18.140625" bestFit="1" customWidth="1"/>
    <col min="48" max="48" width="34.85546875" bestFit="1" customWidth="1"/>
    <col min="49" max="49" width="14.855468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140625" bestFit="1" customWidth="1"/>
    <col min="54" max="55" width="19.140625" bestFit="1" customWidth="1"/>
    <col min="56" max="56" width="15.855468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140625" bestFit="1" customWidth="1"/>
    <col min="61" max="62" width="19.140625" bestFit="1" customWidth="1"/>
    <col min="63" max="63" width="15.85546875" bestFit="1" customWidth="1"/>
    <col min="64" max="64" width="13.28515625" bestFit="1" customWidth="1"/>
  </cols>
  <sheetData>
    <row r="1" spans="1:23" x14ac:dyDescent="0.25">
      <c r="A1" t="s">
        <v>130</v>
      </c>
      <c r="D1"/>
    </row>
    <row r="2" spans="1:23" x14ac:dyDescent="0.25">
      <c r="A2" t="s">
        <v>3</v>
      </c>
      <c r="B2" t="s">
        <v>4</v>
      </c>
      <c r="C2" t="s">
        <v>5</v>
      </c>
      <c r="D2" s="5" t="s">
        <v>119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t="s">
        <v>14</v>
      </c>
      <c r="N2" t="s">
        <v>15</v>
      </c>
      <c r="O2" t="s">
        <v>16</v>
      </c>
      <c r="P2" t="s">
        <v>17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  <c r="V2" t="s">
        <v>23</v>
      </c>
    </row>
    <row r="3" spans="1:23" x14ac:dyDescent="0.25">
      <c r="A3" s="2" t="s">
        <v>535</v>
      </c>
      <c r="B3" s="2" t="s">
        <v>2</v>
      </c>
      <c r="C3" s="2" t="s">
        <v>131</v>
      </c>
      <c r="D3" s="4">
        <f>LEN(C3)</f>
        <v>12</v>
      </c>
      <c r="E3" t="s">
        <v>0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2" t="s">
        <v>25</v>
      </c>
      <c r="B4" s="2" t="s">
        <v>116</v>
      </c>
      <c r="C4" s="2" t="s">
        <v>117</v>
      </c>
      <c r="D4" s="4">
        <f>LEN(C4)</f>
        <v>25</v>
      </c>
      <c r="E4" t="s">
        <v>0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s="3" t="s">
        <v>536</v>
      </c>
      <c r="B5" s="6" t="str">
        <f>$A$3</f>
        <v>BXX_DEV1_FV1</v>
      </c>
      <c r="C5" s="6" t="str">
        <f>C3 &amp; " Position"</f>
        <v>Sample Valve Position</v>
      </c>
      <c r="D5" s="4">
        <f>LEN(C5)</f>
        <v>21</v>
      </c>
      <c r="E5" t="s">
        <v>0</v>
      </c>
      <c r="F5">
        <v>999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23" x14ac:dyDescent="0.25">
      <c r="A6" s="1" t="s">
        <v>43</v>
      </c>
      <c r="B6" t="s">
        <v>4</v>
      </c>
      <c r="C6" t="s">
        <v>5</v>
      </c>
      <c r="E6" t="s">
        <v>30</v>
      </c>
      <c r="F6" t="s">
        <v>6</v>
      </c>
      <c r="G6" t="s">
        <v>7</v>
      </c>
      <c r="H6" t="s">
        <v>31</v>
      </c>
      <c r="I6" t="s">
        <v>32</v>
      </c>
      <c r="J6" t="s">
        <v>33</v>
      </c>
      <c r="K6" t="s">
        <v>34</v>
      </c>
      <c r="L6" t="s">
        <v>35</v>
      </c>
      <c r="M6" t="s">
        <v>36</v>
      </c>
      <c r="N6" t="s">
        <v>44</v>
      </c>
      <c r="O6" t="s">
        <v>45</v>
      </c>
      <c r="P6" t="s">
        <v>46</v>
      </c>
      <c r="Q6" t="s">
        <v>47</v>
      </c>
      <c r="R6" t="s">
        <v>48</v>
      </c>
      <c r="S6" t="s">
        <v>37</v>
      </c>
      <c r="T6" t="s">
        <v>38</v>
      </c>
      <c r="U6" t="s">
        <v>15</v>
      </c>
      <c r="V6" t="s">
        <v>23</v>
      </c>
      <c r="W6" t="s">
        <v>39</v>
      </c>
    </row>
    <row r="7" spans="1:23" x14ac:dyDescent="0.25">
      <c r="A7" s="6" t="str">
        <f>$A$3&amp;"_"&amp;"DI_AD"</f>
        <v>BXX_DEV1_FV1_DI_AD</v>
      </c>
      <c r="B7" s="6" t="str">
        <f>A4</f>
        <v>BXX_DSAB</v>
      </c>
      <c r="C7" s="6" t="str">
        <f>$C$3 &amp; " Disabled Alarm"</f>
        <v>Sample Valve Disabled Alarm</v>
      </c>
      <c r="D7" s="4">
        <f>LEN(C7)</f>
        <v>27</v>
      </c>
      <c r="E7" t="s">
        <v>1</v>
      </c>
      <c r="F7" t="s">
        <v>1</v>
      </c>
      <c r="G7">
        <v>0</v>
      </c>
      <c r="H7" t="s">
        <v>0</v>
      </c>
      <c r="I7" t="s">
        <v>40</v>
      </c>
      <c r="J7" t="s">
        <v>40</v>
      </c>
      <c r="K7" t="s">
        <v>42</v>
      </c>
      <c r="L7" t="s">
        <v>42</v>
      </c>
      <c r="M7" s="2">
        <v>98</v>
      </c>
      <c r="N7" t="s">
        <v>49</v>
      </c>
      <c r="O7" s="2" t="s">
        <v>2</v>
      </c>
      <c r="P7" t="s">
        <v>1</v>
      </c>
      <c r="Q7" s="6" t="str">
        <f>$A$3&amp;".DI_AD"</f>
        <v>BXX_DEV1_FV1.DI_AD</v>
      </c>
      <c r="R7" t="s">
        <v>1</v>
      </c>
      <c r="S7" s="6" t="str">
        <f>C7</f>
        <v>Sample Valve Disabled Alarm</v>
      </c>
      <c r="T7">
        <v>0</v>
      </c>
      <c r="U7">
        <v>0</v>
      </c>
    </row>
    <row r="8" spans="1:23" x14ac:dyDescent="0.25">
      <c r="A8" s="6" t="str">
        <f>$A$3&amp;"_"&amp;"DI_CL"</f>
        <v>BXX_DEV1_FV1_DI_CL</v>
      </c>
      <c r="B8" s="6" t="str">
        <f>$A$3</f>
        <v>BXX_DEV1_FV1</v>
      </c>
      <c r="C8" s="6" t="str">
        <f>$C$3&amp;" Control Mode"</f>
        <v>Sample Valve Control Mode</v>
      </c>
      <c r="D8" s="4">
        <f t="shared" ref="D8" si="0">LEN(C8)</f>
        <v>25</v>
      </c>
      <c r="E8" t="s">
        <v>1</v>
      </c>
      <c r="F8" t="s">
        <v>0</v>
      </c>
      <c r="G8" s="2">
        <v>700</v>
      </c>
      <c r="H8" t="s">
        <v>0</v>
      </c>
      <c r="I8" t="s">
        <v>40</v>
      </c>
      <c r="J8" t="s">
        <v>55</v>
      </c>
      <c r="K8" t="s">
        <v>24</v>
      </c>
      <c r="L8" t="s">
        <v>41</v>
      </c>
      <c r="M8">
        <v>1</v>
      </c>
      <c r="N8" t="s">
        <v>49</v>
      </c>
      <c r="O8" s="6" t="str">
        <f>$O$7</f>
        <v>BXX</v>
      </c>
      <c r="P8" t="s">
        <v>1</v>
      </c>
      <c r="Q8" s="6" t="str">
        <f>$A$3&amp;".DI_CL.eng"</f>
        <v>BXX_DEV1_FV1.DI_CL.eng</v>
      </c>
      <c r="R8" t="s">
        <v>1</v>
      </c>
      <c r="S8" s="6" t="str">
        <f>C8</f>
        <v>Sample Valve Control Mode</v>
      </c>
      <c r="T8">
        <v>0</v>
      </c>
      <c r="U8">
        <v>0</v>
      </c>
    </row>
    <row r="9" spans="1:23" x14ac:dyDescent="0.25">
      <c r="A9" s="6" t="str">
        <f>$A$3&amp;"_"&amp;"DI_OD"</f>
        <v>BXX_DEV1_FV1_DI_OD</v>
      </c>
      <c r="B9" s="6" t="str">
        <f t="shared" ref="B9:B36" si="1">$A$3</f>
        <v>BXX_DEV1_FV1</v>
      </c>
      <c r="C9" s="6" t="str">
        <f>$C$3&amp;" Open Status"</f>
        <v>Sample Valve Open Status</v>
      </c>
      <c r="D9" s="4">
        <f t="shared" ref="D9:D49" si="2">LEN(C9)</f>
        <v>24</v>
      </c>
      <c r="E9" t="s">
        <v>0</v>
      </c>
      <c r="F9" t="s">
        <v>0</v>
      </c>
      <c r="G9" s="2">
        <v>700</v>
      </c>
      <c r="H9" t="s">
        <v>0</v>
      </c>
      <c r="I9" t="s">
        <v>40</v>
      </c>
      <c r="J9" t="s">
        <v>127</v>
      </c>
      <c r="K9" t="s">
        <v>57</v>
      </c>
      <c r="L9" t="s">
        <v>41</v>
      </c>
      <c r="M9">
        <v>1</v>
      </c>
      <c r="N9" t="s">
        <v>49</v>
      </c>
      <c r="O9" s="6" t="str">
        <f t="shared" ref="O9:O26" si="3">$O$7</f>
        <v>BXX</v>
      </c>
      <c r="P9" t="s">
        <v>1</v>
      </c>
      <c r="Q9" s="6" t="str">
        <f>$A$3&amp;".DI_OD.eng"</f>
        <v>BXX_DEV1_FV1.DI_OD.eng</v>
      </c>
      <c r="R9" t="s">
        <v>1</v>
      </c>
      <c r="S9" s="6" t="str">
        <f t="shared" ref="S9:S49" si="4">C9</f>
        <v>Sample Valve Open Status</v>
      </c>
      <c r="T9">
        <v>0</v>
      </c>
      <c r="U9">
        <v>0</v>
      </c>
    </row>
    <row r="10" spans="1:23" x14ac:dyDescent="0.25">
      <c r="A10" s="6" t="str">
        <f>$A$3&amp;"_"&amp;"DI_CD"</f>
        <v>BXX_DEV1_FV1_DI_CD</v>
      </c>
      <c r="B10" s="6" t="str">
        <f t="shared" si="1"/>
        <v>BXX_DEV1_FV1</v>
      </c>
      <c r="C10" s="6" t="str">
        <f>$C$3&amp;" Closed Status"</f>
        <v>Sample Valve Closed Status</v>
      </c>
      <c r="D10" s="4">
        <f t="shared" ref="D10" si="5">LEN(C10)</f>
        <v>26</v>
      </c>
      <c r="E10" t="s">
        <v>0</v>
      </c>
      <c r="F10" t="s">
        <v>0</v>
      </c>
      <c r="G10" s="2">
        <v>700</v>
      </c>
      <c r="H10" t="s">
        <v>0</v>
      </c>
      <c r="I10" t="s">
        <v>40</v>
      </c>
      <c r="J10" t="s">
        <v>127</v>
      </c>
      <c r="K10" t="s">
        <v>57</v>
      </c>
      <c r="L10" t="s">
        <v>41</v>
      </c>
      <c r="M10">
        <v>1</v>
      </c>
      <c r="N10" t="s">
        <v>49</v>
      </c>
      <c r="O10" s="6" t="str">
        <f t="shared" si="3"/>
        <v>BXX</v>
      </c>
      <c r="P10" t="s">
        <v>1</v>
      </c>
      <c r="Q10" s="6" t="str">
        <f>$A$3&amp;".DI_CD.eng"</f>
        <v>BXX_DEV1_FV1.DI_CD.eng</v>
      </c>
      <c r="R10" t="s">
        <v>1</v>
      </c>
      <c r="S10" s="6" t="str">
        <f t="shared" ref="S10" si="6">C10</f>
        <v>Sample Valve Closed Status</v>
      </c>
      <c r="T10">
        <v>0</v>
      </c>
      <c r="U10">
        <v>0</v>
      </c>
    </row>
    <row r="11" spans="1:23" x14ac:dyDescent="0.25">
      <c r="A11" s="6" t="str">
        <f>$A$3&amp;"_"&amp;"DI_AA"</f>
        <v>BXX_DEV1_FV1_DI_AA</v>
      </c>
      <c r="B11" s="6" t="str">
        <f t="shared" si="1"/>
        <v>BXX_DEV1_FV1</v>
      </c>
      <c r="C11" s="6" t="str">
        <f>$C$3&amp;" Auto Mode"</f>
        <v>Sample Valve Auto Mode</v>
      </c>
      <c r="D11" s="4">
        <f t="shared" si="2"/>
        <v>22</v>
      </c>
      <c r="E11" t="s">
        <v>1</v>
      </c>
      <c r="F11" t="s">
        <v>0</v>
      </c>
      <c r="G11" s="2">
        <v>700</v>
      </c>
      <c r="H11" t="s">
        <v>0</v>
      </c>
      <c r="I11" t="s">
        <v>40</v>
      </c>
      <c r="J11" t="s">
        <v>61</v>
      </c>
      <c r="K11" t="s">
        <v>62</v>
      </c>
      <c r="L11" t="s">
        <v>41</v>
      </c>
      <c r="M11">
        <v>1</v>
      </c>
      <c r="N11" t="s">
        <v>49</v>
      </c>
      <c r="O11" s="6" t="str">
        <f t="shared" si="3"/>
        <v>BXX</v>
      </c>
      <c r="P11" t="s">
        <v>1</v>
      </c>
      <c r="Q11" s="6" t="str">
        <f>$A$3&amp;".DI_AA"</f>
        <v>BXX_DEV1_FV1.DI_AA</v>
      </c>
      <c r="R11" t="s">
        <v>1</v>
      </c>
      <c r="S11" s="6" t="str">
        <f t="shared" si="4"/>
        <v>Sample Valve Auto Mode</v>
      </c>
      <c r="T11">
        <v>0</v>
      </c>
      <c r="U11">
        <v>0</v>
      </c>
    </row>
    <row r="12" spans="1:23" x14ac:dyDescent="0.25">
      <c r="A12" s="6" t="str">
        <f>$A$3&amp;"_"&amp;"DI_PM"</f>
        <v>BXX_DEV1_FV1_DI_PM</v>
      </c>
      <c r="B12" s="6" t="str">
        <f t="shared" si="1"/>
        <v>BXX_DEV1_FV1</v>
      </c>
      <c r="C12" s="6" t="str">
        <f>$C$3&amp;" Plant Manual Mode"</f>
        <v>Sample Valve Plant Manual Mode</v>
      </c>
      <c r="D12" s="4">
        <f t="shared" si="2"/>
        <v>30</v>
      </c>
      <c r="E12" t="s">
        <v>1</v>
      </c>
      <c r="F12" t="s">
        <v>0</v>
      </c>
      <c r="G12" s="2">
        <v>700</v>
      </c>
      <c r="H12" t="s">
        <v>0</v>
      </c>
      <c r="I12" t="s">
        <v>40</v>
      </c>
      <c r="J12" t="s">
        <v>62</v>
      </c>
      <c r="K12" t="s">
        <v>61</v>
      </c>
      <c r="L12" t="s">
        <v>41</v>
      </c>
      <c r="M12">
        <v>1</v>
      </c>
      <c r="N12" t="s">
        <v>49</v>
      </c>
      <c r="O12" s="6" t="str">
        <f t="shared" si="3"/>
        <v>BXX</v>
      </c>
      <c r="P12" t="s">
        <v>1</v>
      </c>
      <c r="Q12" s="6" t="str">
        <f>$A$3&amp;".DI_PM"</f>
        <v>BXX_DEV1_FV1.DI_PM</v>
      </c>
      <c r="R12" t="s">
        <v>1</v>
      </c>
      <c r="S12" s="6" t="str">
        <f t="shared" si="4"/>
        <v>Sample Valve Plant Manual Mode</v>
      </c>
      <c r="T12">
        <v>0</v>
      </c>
      <c r="U12">
        <v>0</v>
      </c>
    </row>
    <row r="13" spans="1:23" x14ac:dyDescent="0.25">
      <c r="A13" s="6" t="str">
        <f>$A$3&amp;"_"&amp;"PB_PM"</f>
        <v>BXX_DEV1_FV1_PB_PM</v>
      </c>
      <c r="B13" s="6" t="str">
        <f t="shared" si="1"/>
        <v>BXX_DEV1_FV1</v>
      </c>
      <c r="C13" s="6" t="str">
        <f>$C$3&amp;" Plant Manual Mode RQ"</f>
        <v>Sample Valve Plant Manual Mode RQ</v>
      </c>
      <c r="D13" s="4">
        <f t="shared" si="2"/>
        <v>33</v>
      </c>
      <c r="E13" t="s">
        <v>1</v>
      </c>
      <c r="F13" t="s">
        <v>0</v>
      </c>
      <c r="G13" s="2">
        <v>600</v>
      </c>
      <c r="H13" t="s">
        <v>0</v>
      </c>
      <c r="I13" t="s">
        <v>40</v>
      </c>
      <c r="J13" t="s">
        <v>50</v>
      </c>
      <c r="K13" t="s">
        <v>42</v>
      </c>
      <c r="L13" t="s">
        <v>41</v>
      </c>
      <c r="M13">
        <v>1</v>
      </c>
      <c r="N13" t="s">
        <v>49</v>
      </c>
      <c r="O13" s="6" t="str">
        <f t="shared" si="3"/>
        <v>BXX</v>
      </c>
      <c r="P13" t="s">
        <v>1</v>
      </c>
      <c r="Q13" s="6" t="str">
        <f>$A$3&amp;".PB_PM"</f>
        <v>BXX_DEV1_FV1.PB_PM</v>
      </c>
      <c r="R13" t="s">
        <v>1</v>
      </c>
      <c r="S13" s="6" t="str">
        <f t="shared" si="4"/>
        <v>Sample Valve Plant Manual Mode RQ</v>
      </c>
      <c r="T13">
        <v>0</v>
      </c>
      <c r="U13">
        <v>0</v>
      </c>
    </row>
    <row r="14" spans="1:23" x14ac:dyDescent="0.25">
      <c r="A14" s="3" t="str">
        <f>$A$3&amp;"_"&amp;"PB_PO"</f>
        <v>BXX_DEV1_FV1_PB_PO</v>
      </c>
      <c r="B14" s="6" t="str">
        <f t="shared" si="1"/>
        <v>BXX_DEV1_FV1</v>
      </c>
      <c r="C14" s="6" t="str">
        <f>$C$3&amp;" Plant Manual Open"</f>
        <v>Sample Valve Plant Manual Open</v>
      </c>
      <c r="D14" s="4">
        <f t="shared" si="2"/>
        <v>30</v>
      </c>
      <c r="E14" t="s">
        <v>1</v>
      </c>
      <c r="F14" t="s">
        <v>0</v>
      </c>
      <c r="G14" s="2">
        <v>600</v>
      </c>
      <c r="H14" t="s">
        <v>0</v>
      </c>
      <c r="I14" t="s">
        <v>40</v>
      </c>
      <c r="J14" t="s">
        <v>50</v>
      </c>
      <c r="K14" t="s">
        <v>59</v>
      </c>
      <c r="L14" t="s">
        <v>41</v>
      </c>
      <c r="M14">
        <v>1</v>
      </c>
      <c r="N14" t="s">
        <v>49</v>
      </c>
      <c r="O14" s="6" t="str">
        <f t="shared" si="3"/>
        <v>BXX</v>
      </c>
      <c r="P14" t="s">
        <v>1</v>
      </c>
      <c r="Q14" s="6" t="str">
        <f>$A$3&amp;".PB_PO"</f>
        <v>BXX_DEV1_FV1.PB_PO</v>
      </c>
      <c r="R14" t="s">
        <v>1</v>
      </c>
      <c r="S14" s="6" t="str">
        <f t="shared" si="4"/>
        <v>Sample Valve Plant Manual Open</v>
      </c>
      <c r="T14">
        <v>0</v>
      </c>
      <c r="U14">
        <v>0</v>
      </c>
    </row>
    <row r="15" spans="1:23" x14ac:dyDescent="0.25">
      <c r="A15" s="3" t="str">
        <f>$A$3&amp;"_"&amp;"PB_PC"</f>
        <v>BXX_DEV1_FV1_PB_PC</v>
      </c>
      <c r="B15" s="6" t="str">
        <f t="shared" si="1"/>
        <v>BXX_DEV1_FV1</v>
      </c>
      <c r="C15" s="6" t="str">
        <f>$C$3&amp;" Plant Manual Close"</f>
        <v>Sample Valve Plant Manual Close</v>
      </c>
      <c r="D15" s="4">
        <f t="shared" si="2"/>
        <v>31</v>
      </c>
      <c r="E15" t="s">
        <v>1</v>
      </c>
      <c r="F15" t="s">
        <v>0</v>
      </c>
      <c r="G15" s="2">
        <v>600</v>
      </c>
      <c r="H15" t="s">
        <v>0</v>
      </c>
      <c r="I15" t="s">
        <v>40</v>
      </c>
      <c r="J15" t="s">
        <v>50</v>
      </c>
      <c r="K15" t="s">
        <v>60</v>
      </c>
      <c r="L15" t="s">
        <v>41</v>
      </c>
      <c r="M15">
        <v>1</v>
      </c>
      <c r="N15" t="s">
        <v>49</v>
      </c>
      <c r="O15" s="6" t="str">
        <f t="shared" si="3"/>
        <v>BXX</v>
      </c>
      <c r="P15" t="s">
        <v>1</v>
      </c>
      <c r="Q15" s="6" t="str">
        <f>$A$3&amp;".PB_PC"</f>
        <v>BXX_DEV1_FV1.PB_PC</v>
      </c>
      <c r="R15" t="s">
        <v>1</v>
      </c>
      <c r="S15" s="6" t="str">
        <f t="shared" si="4"/>
        <v>Sample Valve Plant Manual Close</v>
      </c>
      <c r="T15">
        <v>0</v>
      </c>
      <c r="U15">
        <v>0</v>
      </c>
    </row>
    <row r="16" spans="1:23" x14ac:dyDescent="0.25">
      <c r="A16" s="6" t="str">
        <f>$A$3&amp;"_"&amp;"PB_AR"</f>
        <v>BXX_DEV1_FV1_PB_AR</v>
      </c>
      <c r="B16" s="6" t="str">
        <f t="shared" si="1"/>
        <v>BXX_DEV1_FV1</v>
      </c>
      <c r="C16" s="6" t="str">
        <f>$C$3&amp;" Alarm Ack"</f>
        <v>Sample Valve Alarm Ack</v>
      </c>
      <c r="D16" s="4">
        <f t="shared" si="2"/>
        <v>22</v>
      </c>
      <c r="E16" t="s">
        <v>1</v>
      </c>
      <c r="F16" t="s">
        <v>0</v>
      </c>
      <c r="G16" s="2">
        <v>600</v>
      </c>
      <c r="H16" t="s">
        <v>0</v>
      </c>
      <c r="I16" t="s">
        <v>40</v>
      </c>
      <c r="J16" t="s">
        <v>50</v>
      </c>
      <c r="K16" t="s">
        <v>56</v>
      </c>
      <c r="L16" t="s">
        <v>41</v>
      </c>
      <c r="M16">
        <v>1</v>
      </c>
      <c r="N16" t="s">
        <v>49</v>
      </c>
      <c r="O16" s="6" t="str">
        <f t="shared" si="3"/>
        <v>BXX</v>
      </c>
      <c r="P16" t="s">
        <v>1</v>
      </c>
      <c r="Q16" s="6" t="str">
        <f>$A$3&amp;".PB_AR"</f>
        <v>BXX_DEV1_FV1.PB_AR</v>
      </c>
      <c r="R16" t="s">
        <v>1</v>
      </c>
      <c r="S16" s="6" t="str">
        <f t="shared" si="4"/>
        <v>Sample Valve Alarm Ack</v>
      </c>
      <c r="T16">
        <v>0</v>
      </c>
      <c r="U16">
        <v>0</v>
      </c>
    </row>
    <row r="17" spans="1:21" x14ac:dyDescent="0.25">
      <c r="A17" s="3" t="str">
        <f>$A$3&amp;"_"&amp;"DA_SF"</f>
        <v>BXX_DEV1_FV1_DA_SF</v>
      </c>
      <c r="B17" s="6" t="str">
        <f t="shared" si="1"/>
        <v>BXX_DEV1_FV1</v>
      </c>
      <c r="C17" s="6" t="str">
        <f>$C$3&amp;" Failed To Open"</f>
        <v>Sample Valve Failed To Open</v>
      </c>
      <c r="D17" s="4">
        <f t="shared" si="2"/>
        <v>27</v>
      </c>
      <c r="E17" t="s">
        <v>1</v>
      </c>
      <c r="F17" t="s">
        <v>1</v>
      </c>
      <c r="G17">
        <v>0</v>
      </c>
      <c r="H17" t="s">
        <v>0</v>
      </c>
      <c r="I17" t="s">
        <v>40</v>
      </c>
      <c r="J17" t="s">
        <v>50</v>
      </c>
      <c r="K17" t="s">
        <v>51</v>
      </c>
      <c r="L17" t="s">
        <v>42</v>
      </c>
      <c r="M17" s="2">
        <v>51</v>
      </c>
      <c r="N17" t="s">
        <v>49</v>
      </c>
      <c r="O17" s="6" t="str">
        <f t="shared" si="3"/>
        <v>BXX</v>
      </c>
      <c r="P17" t="s">
        <v>1</v>
      </c>
      <c r="Q17" s="6" t="str">
        <f>$A$3&amp;".DA_SF"</f>
        <v>BXX_DEV1_FV1.DA_SF</v>
      </c>
      <c r="R17" t="s">
        <v>1</v>
      </c>
      <c r="S17" s="6" t="str">
        <f t="shared" si="4"/>
        <v>Sample Valve Failed To Open</v>
      </c>
      <c r="T17">
        <v>0</v>
      </c>
      <c r="U17">
        <v>0</v>
      </c>
    </row>
    <row r="18" spans="1:21" x14ac:dyDescent="0.25">
      <c r="A18" s="3" t="str">
        <f>$A$3&amp;"_"&amp;"DA_XF"</f>
        <v>BXX_DEV1_FV1_DA_XF</v>
      </c>
      <c r="B18" s="6" t="str">
        <f t="shared" si="1"/>
        <v>BXX_DEV1_FV1</v>
      </c>
      <c r="C18" s="6" t="str">
        <f>$C$3&amp;" Failed To Close"</f>
        <v>Sample Valve Failed To Close</v>
      </c>
      <c r="D18" s="4">
        <f t="shared" si="2"/>
        <v>28</v>
      </c>
      <c r="E18" t="s">
        <v>1</v>
      </c>
      <c r="F18" t="s">
        <v>1</v>
      </c>
      <c r="G18">
        <v>0</v>
      </c>
      <c r="H18" t="s">
        <v>0</v>
      </c>
      <c r="I18" t="s">
        <v>40</v>
      </c>
      <c r="J18" t="s">
        <v>50</v>
      </c>
      <c r="K18" t="s">
        <v>51</v>
      </c>
      <c r="L18" t="s">
        <v>42</v>
      </c>
      <c r="M18" s="2">
        <v>52</v>
      </c>
      <c r="N18" t="s">
        <v>49</v>
      </c>
      <c r="O18" s="6" t="str">
        <f t="shared" si="3"/>
        <v>BXX</v>
      </c>
      <c r="P18" t="s">
        <v>1</v>
      </c>
      <c r="Q18" s="6" t="str">
        <f>$A$3&amp;".DA_XF"</f>
        <v>BXX_DEV1_FV1.DA_XF</v>
      </c>
      <c r="R18" t="s">
        <v>1</v>
      </c>
      <c r="S18" s="6" t="str">
        <f t="shared" si="4"/>
        <v>Sample Valve Failed To Close</v>
      </c>
      <c r="T18">
        <v>0</v>
      </c>
      <c r="U18">
        <v>0</v>
      </c>
    </row>
    <row r="19" spans="1:21" x14ac:dyDescent="0.25">
      <c r="A19" s="3" t="str">
        <f>$A$3&amp;"_"&amp;"DA_SU"</f>
        <v>BXX_DEV1_FV1_DA_SU</v>
      </c>
      <c r="B19" s="6" t="str">
        <f t="shared" si="1"/>
        <v>BXX_DEV1_FV1</v>
      </c>
      <c r="C19" s="6" t="str">
        <f>$C$3&amp;" Uncommanded Open"</f>
        <v>Sample Valve Uncommanded Open</v>
      </c>
      <c r="D19" s="4">
        <f t="shared" si="2"/>
        <v>29</v>
      </c>
      <c r="E19" t="s">
        <v>1</v>
      </c>
      <c r="F19" t="s">
        <v>1</v>
      </c>
      <c r="G19">
        <v>0</v>
      </c>
      <c r="H19" t="s">
        <v>0</v>
      </c>
      <c r="I19" t="s">
        <v>40</v>
      </c>
      <c r="J19" t="s">
        <v>50</v>
      </c>
      <c r="K19" t="s">
        <v>51</v>
      </c>
      <c r="L19" t="s">
        <v>42</v>
      </c>
      <c r="M19" s="2">
        <v>53</v>
      </c>
      <c r="N19" t="s">
        <v>49</v>
      </c>
      <c r="O19" s="6" t="str">
        <f t="shared" si="3"/>
        <v>BXX</v>
      </c>
      <c r="P19" t="s">
        <v>1</v>
      </c>
      <c r="Q19" s="6" t="str">
        <f>$A$3&amp;".DA_SU"</f>
        <v>BXX_DEV1_FV1.DA_SU</v>
      </c>
      <c r="R19" t="s">
        <v>1</v>
      </c>
      <c r="S19" s="6" t="str">
        <f t="shared" si="4"/>
        <v>Sample Valve Uncommanded Open</v>
      </c>
      <c r="T19">
        <v>0</v>
      </c>
      <c r="U19">
        <v>0</v>
      </c>
    </row>
    <row r="20" spans="1:21" x14ac:dyDescent="0.25">
      <c r="A20" s="3" t="str">
        <f>$A$3&amp;"_"&amp;"DA_XU"</f>
        <v>BXX_DEV1_FV1_DA_XU</v>
      </c>
      <c r="B20" s="6" t="str">
        <f t="shared" si="1"/>
        <v>BXX_DEV1_FV1</v>
      </c>
      <c r="C20" s="6" t="str">
        <f>$C$3&amp;" Uncommanded Close"</f>
        <v>Sample Valve Uncommanded Close</v>
      </c>
      <c r="D20" s="4">
        <f t="shared" si="2"/>
        <v>30</v>
      </c>
      <c r="E20" t="s">
        <v>1</v>
      </c>
      <c r="F20" t="s">
        <v>1</v>
      </c>
      <c r="G20">
        <v>0</v>
      </c>
      <c r="H20" t="s">
        <v>0</v>
      </c>
      <c r="I20" t="s">
        <v>40</v>
      </c>
      <c r="J20" t="s">
        <v>50</v>
      </c>
      <c r="K20" t="s">
        <v>51</v>
      </c>
      <c r="L20" t="s">
        <v>42</v>
      </c>
      <c r="M20" s="2">
        <v>54</v>
      </c>
      <c r="N20" t="s">
        <v>49</v>
      </c>
      <c r="O20" s="6" t="str">
        <f t="shared" si="3"/>
        <v>BXX</v>
      </c>
      <c r="P20" t="s">
        <v>1</v>
      </c>
      <c r="Q20" s="6" t="str">
        <f>$A$3&amp;".DA_XU"</f>
        <v>BXX_DEV1_FV1.DA_XU</v>
      </c>
      <c r="R20" t="s">
        <v>1</v>
      </c>
      <c r="S20" s="6" t="str">
        <f t="shared" si="4"/>
        <v>Sample Valve Uncommanded Close</v>
      </c>
      <c r="T20">
        <v>0</v>
      </c>
      <c r="U20">
        <v>0</v>
      </c>
    </row>
    <row r="21" spans="1:21" x14ac:dyDescent="0.25">
      <c r="A21" s="3" t="str">
        <f>$A$3&amp;"_"&amp;"PB_SU"</f>
        <v>BXX_DEV1_FV1_PB_SU</v>
      </c>
      <c r="B21" s="6" t="str">
        <f t="shared" si="1"/>
        <v>BXX_DEV1_FV1</v>
      </c>
      <c r="C21" s="6" t="str">
        <f>$C$3&amp;" Uncomm Open Alarm En"</f>
        <v>Sample Valve Uncomm Open Alarm En</v>
      </c>
      <c r="D21" s="4">
        <f t="shared" si="2"/>
        <v>33</v>
      </c>
      <c r="E21" t="s">
        <v>1</v>
      </c>
      <c r="F21" t="s">
        <v>0</v>
      </c>
      <c r="G21" s="2">
        <v>600</v>
      </c>
      <c r="H21" t="s">
        <v>0</v>
      </c>
      <c r="I21" t="s">
        <v>40</v>
      </c>
      <c r="J21" t="s">
        <v>52</v>
      </c>
      <c r="K21" t="s">
        <v>53</v>
      </c>
      <c r="L21" t="s">
        <v>41</v>
      </c>
      <c r="M21" s="1">
        <v>1</v>
      </c>
      <c r="N21" t="s">
        <v>49</v>
      </c>
      <c r="O21" s="6" t="str">
        <f t="shared" si="3"/>
        <v>BXX</v>
      </c>
      <c r="P21" t="s">
        <v>1</v>
      </c>
      <c r="Q21" s="6" t="str">
        <f>$A$3&amp;".PB_SU.RE"</f>
        <v>BXX_DEV1_FV1.PB_SU.RE</v>
      </c>
      <c r="R21" t="s">
        <v>1</v>
      </c>
      <c r="S21" s="6" t="str">
        <f t="shared" si="4"/>
        <v>Sample Valve Uncomm Open Alarm En</v>
      </c>
      <c r="T21">
        <v>0</v>
      </c>
      <c r="U21">
        <v>0</v>
      </c>
    </row>
    <row r="22" spans="1:21" x14ac:dyDescent="0.25">
      <c r="A22" s="3" t="str">
        <f>$A$3&amp;"_"&amp;"PB_SF"</f>
        <v>BXX_DEV1_FV1_PB_SF</v>
      </c>
      <c r="B22" s="6" t="str">
        <f t="shared" si="1"/>
        <v>BXX_DEV1_FV1</v>
      </c>
      <c r="C22" s="6" t="str">
        <f>$C$3&amp;" Failed To Open Alarm En"</f>
        <v>Sample Valve Failed To Open Alarm En</v>
      </c>
      <c r="D22" s="4">
        <f t="shared" si="2"/>
        <v>36</v>
      </c>
      <c r="E22" t="s">
        <v>1</v>
      </c>
      <c r="F22" t="s">
        <v>0</v>
      </c>
      <c r="G22" s="2">
        <v>600</v>
      </c>
      <c r="H22" t="s">
        <v>0</v>
      </c>
      <c r="I22" t="s">
        <v>40</v>
      </c>
      <c r="J22" t="s">
        <v>52</v>
      </c>
      <c r="K22" t="s">
        <v>53</v>
      </c>
      <c r="L22" t="s">
        <v>41</v>
      </c>
      <c r="M22" s="1">
        <v>1</v>
      </c>
      <c r="N22" t="s">
        <v>49</v>
      </c>
      <c r="O22" s="6" t="str">
        <f t="shared" si="3"/>
        <v>BXX</v>
      </c>
      <c r="P22" t="s">
        <v>1</v>
      </c>
      <c r="Q22" s="6" t="str">
        <f>$A$3&amp;".PB_SF.RE"</f>
        <v>BXX_DEV1_FV1.PB_SF.RE</v>
      </c>
      <c r="R22" t="s">
        <v>1</v>
      </c>
      <c r="S22" s="6" t="str">
        <f t="shared" si="4"/>
        <v>Sample Valve Failed To Open Alarm En</v>
      </c>
      <c r="T22">
        <v>0</v>
      </c>
      <c r="U22">
        <v>0</v>
      </c>
    </row>
    <row r="23" spans="1:21" x14ac:dyDescent="0.25">
      <c r="A23" s="3" t="str">
        <f>$A$3&amp;"_"&amp;"PB_XF"</f>
        <v>BXX_DEV1_FV1_PB_XF</v>
      </c>
      <c r="B23" s="6" t="str">
        <f t="shared" si="1"/>
        <v>BXX_DEV1_FV1</v>
      </c>
      <c r="C23" s="6" t="str">
        <f>$C$3&amp;" Failed To Close Alarm En"</f>
        <v>Sample Valve Failed To Close Alarm En</v>
      </c>
      <c r="D23" s="4">
        <f t="shared" si="2"/>
        <v>37</v>
      </c>
      <c r="E23" t="s">
        <v>1</v>
      </c>
      <c r="F23" t="s">
        <v>0</v>
      </c>
      <c r="G23" s="2">
        <v>600</v>
      </c>
      <c r="H23" t="s">
        <v>0</v>
      </c>
      <c r="I23" t="s">
        <v>40</v>
      </c>
      <c r="J23" t="s">
        <v>52</v>
      </c>
      <c r="K23" t="s">
        <v>53</v>
      </c>
      <c r="L23" t="s">
        <v>41</v>
      </c>
      <c r="M23" s="1">
        <v>1</v>
      </c>
      <c r="N23" t="s">
        <v>49</v>
      </c>
      <c r="O23" s="6" t="str">
        <f t="shared" si="3"/>
        <v>BXX</v>
      </c>
      <c r="P23" t="s">
        <v>1</v>
      </c>
      <c r="Q23" s="6" t="str">
        <f>$A$3&amp;".PB_XF.RE"</f>
        <v>BXX_DEV1_FV1.PB_XF.RE</v>
      </c>
      <c r="R23" t="s">
        <v>1</v>
      </c>
      <c r="S23" s="6" t="str">
        <f t="shared" si="4"/>
        <v>Sample Valve Failed To Close Alarm En</v>
      </c>
      <c r="T23">
        <v>0</v>
      </c>
      <c r="U23">
        <v>0</v>
      </c>
    </row>
    <row r="24" spans="1:21" x14ac:dyDescent="0.25">
      <c r="A24" s="3" t="str">
        <f>$A$3&amp;"_"&amp;"PB_XU"</f>
        <v>BXX_DEV1_FV1_PB_XU</v>
      </c>
      <c r="B24" s="6" t="str">
        <f t="shared" si="1"/>
        <v>BXX_DEV1_FV1</v>
      </c>
      <c r="C24" s="6" t="str">
        <f>$C$3&amp;" Uncomm. Close Alarm En"</f>
        <v>Sample Valve Uncomm. Close Alarm En</v>
      </c>
      <c r="D24" s="4">
        <f t="shared" si="2"/>
        <v>35</v>
      </c>
      <c r="E24" t="s">
        <v>1</v>
      </c>
      <c r="F24" t="s">
        <v>0</v>
      </c>
      <c r="G24" s="2">
        <v>600</v>
      </c>
      <c r="H24" t="s">
        <v>0</v>
      </c>
      <c r="I24" t="s">
        <v>40</v>
      </c>
      <c r="J24" t="s">
        <v>52</v>
      </c>
      <c r="K24" t="s">
        <v>53</v>
      </c>
      <c r="L24" t="s">
        <v>41</v>
      </c>
      <c r="M24" s="1">
        <v>1</v>
      </c>
      <c r="N24" t="s">
        <v>49</v>
      </c>
      <c r="O24" s="6" t="str">
        <f t="shared" si="3"/>
        <v>BXX</v>
      </c>
      <c r="P24" t="s">
        <v>1</v>
      </c>
      <c r="Q24" s="6" t="str">
        <f>$A$3&amp;".PB_XU.RE"</f>
        <v>BXX_DEV1_FV1.PB_XU.RE</v>
      </c>
      <c r="R24" t="s">
        <v>1</v>
      </c>
      <c r="S24" s="6" t="str">
        <f t="shared" si="4"/>
        <v>Sample Valve Uncomm. Close Alarm En</v>
      </c>
      <c r="T24">
        <v>0</v>
      </c>
      <c r="U24">
        <v>0</v>
      </c>
    </row>
    <row r="25" spans="1:21" x14ac:dyDescent="0.25">
      <c r="A25" s="3" t="str">
        <f>$A$3&amp;"_"&amp;"PB_SM"</f>
        <v>BXX_DEV1_FV1_PB_SM</v>
      </c>
      <c r="B25" s="6" t="str">
        <f t="shared" si="1"/>
        <v>BXX_DEV1_FV1</v>
      </c>
      <c r="C25" s="6" t="str">
        <f>$C$3&amp;" Simulate Alarms PB"</f>
        <v>Sample Valve Simulate Alarms PB</v>
      </c>
      <c r="D25" s="4">
        <f t="shared" si="2"/>
        <v>31</v>
      </c>
      <c r="E25" t="s">
        <v>1</v>
      </c>
      <c r="F25" t="s">
        <v>0</v>
      </c>
      <c r="G25" s="2">
        <v>600</v>
      </c>
      <c r="H25" t="s">
        <v>0</v>
      </c>
      <c r="I25" t="s">
        <v>40</v>
      </c>
      <c r="J25" t="s">
        <v>40</v>
      </c>
      <c r="K25" t="s">
        <v>42</v>
      </c>
      <c r="L25" t="s">
        <v>41</v>
      </c>
      <c r="M25" s="1">
        <v>1</v>
      </c>
      <c r="N25" t="s">
        <v>49</v>
      </c>
      <c r="O25" s="6" t="str">
        <f t="shared" si="3"/>
        <v>BXX</v>
      </c>
      <c r="P25" t="s">
        <v>1</v>
      </c>
      <c r="Q25" s="6" t="str">
        <f>$A$3&amp;".PB_SM"</f>
        <v>BXX_DEV1_FV1.PB_SM</v>
      </c>
      <c r="R25" t="s">
        <v>1</v>
      </c>
      <c r="S25" s="6" t="str">
        <f t="shared" si="4"/>
        <v>Sample Valve Simulate Alarms PB</v>
      </c>
      <c r="T25">
        <v>0</v>
      </c>
      <c r="U25">
        <v>0</v>
      </c>
    </row>
    <row r="26" spans="1:21" x14ac:dyDescent="0.25">
      <c r="A26" s="3" t="str">
        <f>$A$3&amp;"_"&amp;"PB_AE"</f>
        <v>BXX_DEV1_FV1_PB_AE</v>
      </c>
      <c r="B26" s="6" t="str">
        <f t="shared" si="1"/>
        <v>BXX_DEV1_FV1</v>
      </c>
      <c r="C26" s="6" t="str">
        <f>$C$3&amp;" Alarm Enable"</f>
        <v>Sample Valve Alarm Enable</v>
      </c>
      <c r="D26" s="4">
        <f t="shared" si="2"/>
        <v>25</v>
      </c>
      <c r="E26" t="s">
        <v>1</v>
      </c>
      <c r="F26" t="s">
        <v>0</v>
      </c>
      <c r="G26" s="2">
        <v>600</v>
      </c>
      <c r="H26" t="s">
        <v>0</v>
      </c>
      <c r="I26" t="s">
        <v>40</v>
      </c>
      <c r="J26" t="s">
        <v>52</v>
      </c>
      <c r="K26" t="s">
        <v>53</v>
      </c>
      <c r="L26" t="s">
        <v>41</v>
      </c>
      <c r="M26">
        <v>1</v>
      </c>
      <c r="N26" t="s">
        <v>49</v>
      </c>
      <c r="O26" s="6" t="str">
        <f t="shared" si="3"/>
        <v>BXX</v>
      </c>
      <c r="P26" t="s">
        <v>1</v>
      </c>
      <c r="Q26" s="6" t="str">
        <f>$A$3&amp;".PB_AE.RE"</f>
        <v>BXX_DEV1_FV1.PB_AE.RE</v>
      </c>
      <c r="R26" t="s">
        <v>1</v>
      </c>
      <c r="S26" s="6" t="str">
        <f t="shared" si="4"/>
        <v>Sample Valve Alarm Enable</v>
      </c>
      <c r="T26">
        <v>0</v>
      </c>
      <c r="U26">
        <v>0</v>
      </c>
    </row>
    <row r="27" spans="1:21" x14ac:dyDescent="0.25">
      <c r="A27" s="3" t="str">
        <f>$A$3&amp;"_"&amp;"PB_SU_DE"</f>
        <v>BXX_DEV1_FV1_PB_SU_DE</v>
      </c>
      <c r="B27" s="6" t="str">
        <f t="shared" si="1"/>
        <v>BXX_DEV1_FV1</v>
      </c>
      <c r="C27" s="6" t="str">
        <f>$C$3 &amp; " Uncomm Open Dialer En"</f>
        <v>Sample Valve Uncomm Open Dialer En</v>
      </c>
      <c r="D27" s="4">
        <f t="shared" si="2"/>
        <v>34</v>
      </c>
      <c r="E27" t="s">
        <v>1</v>
      </c>
      <c r="F27" t="s">
        <v>0</v>
      </c>
      <c r="G27" s="2">
        <v>600</v>
      </c>
      <c r="H27" t="s">
        <v>0</v>
      </c>
      <c r="I27" t="s">
        <v>40</v>
      </c>
      <c r="J27" t="s">
        <v>52</v>
      </c>
      <c r="K27" t="s">
        <v>53</v>
      </c>
      <c r="L27" t="s">
        <v>41</v>
      </c>
      <c r="M27">
        <v>1</v>
      </c>
      <c r="N27" t="s">
        <v>49</v>
      </c>
      <c r="O27" s="6" t="str">
        <f t="shared" ref="O27:O37" si="7">$O$7</f>
        <v>BXX</v>
      </c>
      <c r="P27" t="s">
        <v>1</v>
      </c>
      <c r="Q27" s="6" t="str">
        <f>$A$3&amp;".PB_SU.DE"</f>
        <v>BXX_DEV1_FV1.PB_SU.DE</v>
      </c>
      <c r="R27" t="s">
        <v>1</v>
      </c>
      <c r="S27" s="6" t="str">
        <f t="shared" si="4"/>
        <v>Sample Valve Uncomm Open Dialer En</v>
      </c>
      <c r="T27">
        <v>0</v>
      </c>
      <c r="U27">
        <v>0</v>
      </c>
    </row>
    <row r="28" spans="1:21" x14ac:dyDescent="0.25">
      <c r="A28" s="3" t="str">
        <f>$A$3&amp;"_"&amp;"PB_SF_DE"</f>
        <v>BXX_DEV1_FV1_PB_SF_DE</v>
      </c>
      <c r="B28" s="6" t="str">
        <f t="shared" si="1"/>
        <v>BXX_DEV1_FV1</v>
      </c>
      <c r="C28" s="6" t="str">
        <f>$C$3 &amp; " Failed To Open Dialer En"</f>
        <v>Sample Valve Failed To Open Dialer En</v>
      </c>
      <c r="D28" s="4">
        <f t="shared" si="2"/>
        <v>37</v>
      </c>
      <c r="E28" t="s">
        <v>1</v>
      </c>
      <c r="F28" t="s">
        <v>0</v>
      </c>
      <c r="G28" s="2">
        <v>600</v>
      </c>
      <c r="H28" t="s">
        <v>0</v>
      </c>
      <c r="I28" t="s">
        <v>40</v>
      </c>
      <c r="J28" t="s">
        <v>52</v>
      </c>
      <c r="K28" t="s">
        <v>53</v>
      </c>
      <c r="L28" t="s">
        <v>41</v>
      </c>
      <c r="M28">
        <v>1</v>
      </c>
      <c r="N28" t="s">
        <v>49</v>
      </c>
      <c r="O28" s="6" t="str">
        <f t="shared" si="7"/>
        <v>BXX</v>
      </c>
      <c r="P28" t="s">
        <v>1</v>
      </c>
      <c r="Q28" s="6" t="str">
        <f>$A$3&amp;".PB_SF.DE"</f>
        <v>BXX_DEV1_FV1.PB_SF.DE</v>
      </c>
      <c r="R28" t="s">
        <v>1</v>
      </c>
      <c r="S28" s="6" t="str">
        <f t="shared" si="4"/>
        <v>Sample Valve Failed To Open Dialer En</v>
      </c>
      <c r="T28">
        <v>0</v>
      </c>
      <c r="U28">
        <v>0</v>
      </c>
    </row>
    <row r="29" spans="1:21" x14ac:dyDescent="0.25">
      <c r="A29" s="3" t="str">
        <f>$A$3&amp;"_"&amp;"PB_XF_DE"</f>
        <v>BXX_DEV1_FV1_PB_XF_DE</v>
      </c>
      <c r="B29" s="6" t="str">
        <f t="shared" si="1"/>
        <v>BXX_DEV1_FV1</v>
      </c>
      <c r="C29" s="6" t="str">
        <f>$C$3 &amp; " Failed to Close Dialer En"</f>
        <v>Sample Valve Failed to Close Dialer En</v>
      </c>
      <c r="D29" s="4">
        <f t="shared" si="2"/>
        <v>38</v>
      </c>
      <c r="E29" t="s">
        <v>1</v>
      </c>
      <c r="F29" t="s">
        <v>0</v>
      </c>
      <c r="G29" s="2">
        <v>600</v>
      </c>
      <c r="H29" t="s">
        <v>0</v>
      </c>
      <c r="I29" t="s">
        <v>40</v>
      </c>
      <c r="J29" t="s">
        <v>52</v>
      </c>
      <c r="K29" t="s">
        <v>53</v>
      </c>
      <c r="L29" t="s">
        <v>41</v>
      </c>
      <c r="M29">
        <v>1</v>
      </c>
      <c r="N29" t="s">
        <v>49</v>
      </c>
      <c r="O29" s="6" t="str">
        <f t="shared" si="7"/>
        <v>BXX</v>
      </c>
      <c r="P29" t="s">
        <v>1</v>
      </c>
      <c r="Q29" s="6" t="str">
        <f>$A$3&amp;".PB_XF.DE"</f>
        <v>BXX_DEV1_FV1.PB_XF.DE</v>
      </c>
      <c r="R29" t="s">
        <v>1</v>
      </c>
      <c r="S29" s="6" t="str">
        <f t="shared" si="4"/>
        <v>Sample Valve Failed to Close Dialer En</v>
      </c>
      <c r="T29">
        <v>0</v>
      </c>
      <c r="U29">
        <v>0</v>
      </c>
    </row>
    <row r="30" spans="1:21" x14ac:dyDescent="0.25">
      <c r="A30" s="3" t="str">
        <f>$A$3&amp;"_"&amp;"PB_XU_DE"</f>
        <v>BXX_DEV1_FV1_PB_XU_DE</v>
      </c>
      <c r="B30" s="6" t="str">
        <f t="shared" si="1"/>
        <v>BXX_DEV1_FV1</v>
      </c>
      <c r="C30" s="6" t="str">
        <f>$C$3 &amp; " Uncomm Close Dialer En"</f>
        <v>Sample Valve Uncomm Close Dialer En</v>
      </c>
      <c r="D30" s="4">
        <f t="shared" si="2"/>
        <v>35</v>
      </c>
      <c r="E30" t="s">
        <v>1</v>
      </c>
      <c r="F30" t="s">
        <v>0</v>
      </c>
      <c r="G30" s="2">
        <v>600</v>
      </c>
      <c r="H30" t="s">
        <v>0</v>
      </c>
      <c r="I30" t="s">
        <v>40</v>
      </c>
      <c r="J30" t="s">
        <v>52</v>
      </c>
      <c r="K30" t="s">
        <v>53</v>
      </c>
      <c r="L30" t="s">
        <v>41</v>
      </c>
      <c r="M30">
        <v>1</v>
      </c>
      <c r="N30" t="s">
        <v>49</v>
      </c>
      <c r="O30" s="6" t="str">
        <f t="shared" si="7"/>
        <v>BXX</v>
      </c>
      <c r="P30" t="s">
        <v>1</v>
      </c>
      <c r="Q30" s="6" t="str">
        <f>$A$3&amp;".PB_XU.DE"</f>
        <v>BXX_DEV1_FV1.PB_XU.DE</v>
      </c>
      <c r="R30" t="s">
        <v>1</v>
      </c>
      <c r="S30" s="6" t="str">
        <f t="shared" si="4"/>
        <v>Sample Valve Uncomm Close Dialer En</v>
      </c>
      <c r="T30">
        <v>0</v>
      </c>
      <c r="U30">
        <v>0</v>
      </c>
    </row>
    <row r="31" spans="1:21" x14ac:dyDescent="0.25">
      <c r="A31" s="3" t="str">
        <f>$A$3&amp;"_"&amp;"PB_AE_DE"</f>
        <v>BXX_DEV1_FV1_PB_AE_DE</v>
      </c>
      <c r="B31" s="6" t="str">
        <f t="shared" si="1"/>
        <v>BXX_DEV1_FV1</v>
      </c>
      <c r="C31" s="6" t="str">
        <f>$C$3 &amp; " Alarms Dialer Enable"</f>
        <v>Sample Valve Alarms Dialer Enable</v>
      </c>
      <c r="D31" s="4">
        <f t="shared" si="2"/>
        <v>33</v>
      </c>
      <c r="E31" t="s">
        <v>1</v>
      </c>
      <c r="F31" t="s">
        <v>0</v>
      </c>
      <c r="G31" s="2">
        <v>600</v>
      </c>
      <c r="H31" t="s">
        <v>0</v>
      </c>
      <c r="I31" t="s">
        <v>40</v>
      </c>
      <c r="J31" t="s">
        <v>52</v>
      </c>
      <c r="K31" t="s">
        <v>53</v>
      </c>
      <c r="L31" t="s">
        <v>41</v>
      </c>
      <c r="M31">
        <v>1</v>
      </c>
      <c r="N31" t="s">
        <v>49</v>
      </c>
      <c r="O31" s="6" t="str">
        <f t="shared" si="7"/>
        <v>BXX</v>
      </c>
      <c r="P31" t="s">
        <v>1</v>
      </c>
      <c r="Q31" s="6" t="str">
        <f>$A$3&amp;".PB_AE.DE"</f>
        <v>BXX_DEV1_FV1.PB_AE.DE</v>
      </c>
      <c r="R31" t="s">
        <v>1</v>
      </c>
      <c r="S31" s="6" t="str">
        <f t="shared" si="4"/>
        <v>Sample Valve Alarms Dialer Enable</v>
      </c>
      <c r="T31">
        <v>0</v>
      </c>
      <c r="U31">
        <v>0</v>
      </c>
    </row>
    <row r="32" spans="1:21" x14ac:dyDescent="0.25">
      <c r="A32" s="3" t="str">
        <f>$A$3&amp;"_"&amp;"PB_SU_SR"</f>
        <v>BXX_DEV1_FV1_PB_SU_SR</v>
      </c>
      <c r="B32" s="6" t="str">
        <f t="shared" si="1"/>
        <v>BXX_DEV1_FV1</v>
      </c>
      <c r="C32" s="6" t="str">
        <f>$C$3 &amp; " Uncomm. Open Sup En"</f>
        <v>Sample Valve Uncomm. Open Sup En</v>
      </c>
      <c r="D32" s="4">
        <f t="shared" si="2"/>
        <v>32</v>
      </c>
      <c r="E32" t="s">
        <v>1</v>
      </c>
      <c r="F32" t="s">
        <v>0</v>
      </c>
      <c r="G32" s="2">
        <v>600</v>
      </c>
      <c r="H32" t="s">
        <v>0</v>
      </c>
      <c r="I32" t="s">
        <v>40</v>
      </c>
      <c r="J32" t="s">
        <v>52</v>
      </c>
      <c r="K32" t="s">
        <v>53</v>
      </c>
      <c r="L32" t="s">
        <v>41</v>
      </c>
      <c r="M32">
        <v>1</v>
      </c>
      <c r="N32" t="s">
        <v>49</v>
      </c>
      <c r="O32" s="6" t="str">
        <f t="shared" si="7"/>
        <v>BXX</v>
      </c>
      <c r="P32" t="s">
        <v>1</v>
      </c>
      <c r="Q32" s="6" t="str">
        <f>$A$3&amp;".PB_SU.SR"</f>
        <v>BXX_DEV1_FV1.PB_SU.SR</v>
      </c>
      <c r="R32" t="s">
        <v>1</v>
      </c>
      <c r="S32" s="6" t="str">
        <f t="shared" si="4"/>
        <v>Sample Valve Uncomm. Open Sup En</v>
      </c>
      <c r="T32">
        <v>0</v>
      </c>
      <c r="U32">
        <v>0</v>
      </c>
    </row>
    <row r="33" spans="1:21" x14ac:dyDescent="0.25">
      <c r="A33" s="3" t="str">
        <f>$A$3&amp;"_"&amp;"PB_SF_SR"</f>
        <v>BXX_DEV1_FV1_PB_SF_SR</v>
      </c>
      <c r="B33" s="6" t="str">
        <f t="shared" si="1"/>
        <v>BXX_DEV1_FV1</v>
      </c>
      <c r="C33" s="6" t="str">
        <f>$C$3 &amp; " Failed To Open Sup En"</f>
        <v>Sample Valve Failed To Open Sup En</v>
      </c>
      <c r="D33" s="4">
        <f t="shared" si="2"/>
        <v>34</v>
      </c>
      <c r="E33" t="s">
        <v>1</v>
      </c>
      <c r="F33" t="s">
        <v>0</v>
      </c>
      <c r="G33" s="2">
        <v>600</v>
      </c>
      <c r="H33" t="s">
        <v>0</v>
      </c>
      <c r="I33" t="s">
        <v>40</v>
      </c>
      <c r="J33" t="s">
        <v>52</v>
      </c>
      <c r="K33" t="s">
        <v>53</v>
      </c>
      <c r="L33" t="s">
        <v>41</v>
      </c>
      <c r="M33">
        <v>1</v>
      </c>
      <c r="N33" t="s">
        <v>49</v>
      </c>
      <c r="O33" s="6" t="str">
        <f t="shared" si="7"/>
        <v>BXX</v>
      </c>
      <c r="P33" t="s">
        <v>1</v>
      </c>
      <c r="Q33" s="6" t="str">
        <f>$A$3&amp;".PB_SF.SR"</f>
        <v>BXX_DEV1_FV1.PB_SF.SR</v>
      </c>
      <c r="R33" t="s">
        <v>1</v>
      </c>
      <c r="S33" s="6" t="str">
        <f t="shared" si="4"/>
        <v>Sample Valve Failed To Open Sup En</v>
      </c>
      <c r="T33">
        <v>0</v>
      </c>
      <c r="U33">
        <v>0</v>
      </c>
    </row>
    <row r="34" spans="1:21" x14ac:dyDescent="0.25">
      <c r="A34" s="3" t="str">
        <f>$A$3&amp;"_"&amp;"PB_XF_SR"</f>
        <v>BXX_DEV1_FV1_PB_XF_SR</v>
      </c>
      <c r="B34" s="6" t="str">
        <f t="shared" si="1"/>
        <v>BXX_DEV1_FV1</v>
      </c>
      <c r="C34" s="6" t="str">
        <f>$C$3 &amp; " Failed To Open Sup En"</f>
        <v>Sample Valve Failed To Open Sup En</v>
      </c>
      <c r="D34" s="4">
        <f t="shared" si="2"/>
        <v>34</v>
      </c>
      <c r="E34" t="s">
        <v>1</v>
      </c>
      <c r="F34" t="s">
        <v>0</v>
      </c>
      <c r="G34" s="2">
        <v>600</v>
      </c>
      <c r="H34" t="s">
        <v>0</v>
      </c>
      <c r="I34" t="s">
        <v>40</v>
      </c>
      <c r="J34" t="s">
        <v>52</v>
      </c>
      <c r="K34" t="s">
        <v>53</v>
      </c>
      <c r="L34" t="s">
        <v>41</v>
      </c>
      <c r="M34">
        <v>1</v>
      </c>
      <c r="N34" t="s">
        <v>49</v>
      </c>
      <c r="O34" s="6" t="str">
        <f t="shared" si="7"/>
        <v>BXX</v>
      </c>
      <c r="P34" t="s">
        <v>1</v>
      </c>
      <c r="Q34" s="6" t="str">
        <f>$A$3&amp;".PB_XF.SR"</f>
        <v>BXX_DEV1_FV1.PB_XF.SR</v>
      </c>
      <c r="R34" t="s">
        <v>1</v>
      </c>
      <c r="S34" s="6" t="str">
        <f t="shared" si="4"/>
        <v>Sample Valve Failed To Open Sup En</v>
      </c>
      <c r="T34">
        <v>0</v>
      </c>
      <c r="U34">
        <v>0</v>
      </c>
    </row>
    <row r="35" spans="1:21" x14ac:dyDescent="0.25">
      <c r="A35" s="3" t="str">
        <f>$A$3&amp;"_"&amp;"PB_XU_SR"</f>
        <v>BXX_DEV1_FV1_PB_XU_SR</v>
      </c>
      <c r="B35" s="6" t="str">
        <f t="shared" si="1"/>
        <v>BXX_DEV1_FV1</v>
      </c>
      <c r="C35" s="6" t="str">
        <f>$C$3 &amp; " Uncomm. Open Sup En"</f>
        <v>Sample Valve Uncomm. Open Sup En</v>
      </c>
      <c r="D35" s="4">
        <f t="shared" si="2"/>
        <v>32</v>
      </c>
      <c r="E35" t="s">
        <v>1</v>
      </c>
      <c r="F35" t="s">
        <v>0</v>
      </c>
      <c r="G35" s="2">
        <v>600</v>
      </c>
      <c r="H35" t="s">
        <v>0</v>
      </c>
      <c r="I35" t="s">
        <v>40</v>
      </c>
      <c r="J35" t="s">
        <v>52</v>
      </c>
      <c r="K35" t="s">
        <v>53</v>
      </c>
      <c r="L35" t="s">
        <v>41</v>
      </c>
      <c r="M35">
        <v>1</v>
      </c>
      <c r="N35" t="s">
        <v>49</v>
      </c>
      <c r="O35" s="6" t="str">
        <f t="shared" si="7"/>
        <v>BXX</v>
      </c>
      <c r="P35" t="s">
        <v>1</v>
      </c>
      <c r="Q35" s="6" t="str">
        <f>$A$3&amp;".PB_XU.SR"</f>
        <v>BXX_DEV1_FV1.PB_XU.SR</v>
      </c>
      <c r="R35" t="s">
        <v>1</v>
      </c>
      <c r="S35" s="6" t="str">
        <f t="shared" si="4"/>
        <v>Sample Valve Uncomm. Open Sup En</v>
      </c>
      <c r="T35">
        <v>0</v>
      </c>
      <c r="U35">
        <v>0</v>
      </c>
    </row>
    <row r="36" spans="1:21" x14ac:dyDescent="0.25">
      <c r="A36" s="3" t="str">
        <f>$A$3&amp;"_"&amp;"PB_AE_SR"</f>
        <v>BXX_DEV1_FV1_PB_AE_SR</v>
      </c>
      <c r="B36" s="6" t="str">
        <f t="shared" si="1"/>
        <v>BXX_DEV1_FV1</v>
      </c>
      <c r="C36" s="6" t="str">
        <f>$C$3 &amp; " Alarms Sup Enable"</f>
        <v>Sample Valve Alarms Sup Enable</v>
      </c>
      <c r="D36" s="4">
        <f t="shared" si="2"/>
        <v>30</v>
      </c>
      <c r="E36" t="s">
        <v>1</v>
      </c>
      <c r="F36" t="s">
        <v>0</v>
      </c>
      <c r="G36" s="2">
        <v>600</v>
      </c>
      <c r="H36" t="s">
        <v>0</v>
      </c>
      <c r="I36" t="s">
        <v>40</v>
      </c>
      <c r="J36" t="s">
        <v>52</v>
      </c>
      <c r="K36" t="s">
        <v>53</v>
      </c>
      <c r="L36" t="s">
        <v>41</v>
      </c>
      <c r="M36">
        <v>1</v>
      </c>
      <c r="N36" t="s">
        <v>49</v>
      </c>
      <c r="O36" s="6" t="str">
        <f t="shared" si="7"/>
        <v>BXX</v>
      </c>
      <c r="P36" t="s">
        <v>1</v>
      </c>
      <c r="Q36" s="6" t="str">
        <f>$A$3&amp;".PB_AE.SR"</f>
        <v>BXX_DEV1_FV1.PB_AE.SR</v>
      </c>
      <c r="R36" t="s">
        <v>1</v>
      </c>
      <c r="S36" s="6" t="str">
        <f t="shared" si="4"/>
        <v>Sample Valve Alarms Sup Enable</v>
      </c>
      <c r="T36">
        <v>0</v>
      </c>
      <c r="U36">
        <v>0</v>
      </c>
    </row>
    <row r="37" spans="1:21" x14ac:dyDescent="0.25">
      <c r="A37" s="3" t="str">
        <f>$A$5&amp;"_"&amp;"DI_SC"</f>
        <v>BXX_MXV1_ZI1_DI_SC</v>
      </c>
      <c r="B37" s="6" t="str">
        <f>$A$5</f>
        <v>BXX_MXV1_ZI1</v>
      </c>
      <c r="C37" s="6" t="str">
        <f>$C$5 &amp; " Scan Status"</f>
        <v>Sample Valve Position Scan Status</v>
      </c>
      <c r="D37" s="4">
        <f t="shared" si="2"/>
        <v>33</v>
      </c>
      <c r="E37" t="s">
        <v>1</v>
      </c>
      <c r="F37" t="s">
        <v>0</v>
      </c>
      <c r="G37" s="2">
        <v>700</v>
      </c>
      <c r="H37" t="s">
        <v>0</v>
      </c>
      <c r="I37" t="s">
        <v>40</v>
      </c>
      <c r="J37" t="s">
        <v>53</v>
      </c>
      <c r="K37" t="s">
        <v>52</v>
      </c>
      <c r="L37" t="s">
        <v>41</v>
      </c>
      <c r="M37">
        <v>1</v>
      </c>
      <c r="N37" t="s">
        <v>49</v>
      </c>
      <c r="O37" s="6" t="str">
        <f t="shared" si="7"/>
        <v>BXX</v>
      </c>
      <c r="P37" t="s">
        <v>1</v>
      </c>
      <c r="Q37" s="6" t="str">
        <f>$A$5&amp;".DI_SC"</f>
        <v>BXX_MXV1_ZI1.DI_SC</v>
      </c>
      <c r="R37" t="s">
        <v>1</v>
      </c>
      <c r="S37" s="6" t="str">
        <f t="shared" si="4"/>
        <v>Sample Valve Position Scan Status</v>
      </c>
      <c r="T37">
        <v>0</v>
      </c>
      <c r="U37">
        <v>0</v>
      </c>
    </row>
    <row r="38" spans="1:21" x14ac:dyDescent="0.25">
      <c r="A38" s="3" t="str">
        <f>$A$5&amp;"_"&amp;"PB_SC"</f>
        <v>BXX_MXV1_ZI1_PB_SC</v>
      </c>
      <c r="B38" s="6" t="str">
        <f t="shared" ref="B38:B43" si="8">$A$5</f>
        <v>BXX_MXV1_ZI1</v>
      </c>
      <c r="C38" s="6" t="str">
        <f>$C$5 &amp; " Scan Enable"</f>
        <v>Sample Valve Position Scan Enable</v>
      </c>
      <c r="D38" s="4">
        <f t="shared" si="2"/>
        <v>33</v>
      </c>
      <c r="E38" t="s">
        <v>1</v>
      </c>
      <c r="F38" t="s">
        <v>0</v>
      </c>
      <c r="G38" s="2">
        <v>600</v>
      </c>
      <c r="H38" t="s">
        <v>0</v>
      </c>
      <c r="I38" t="s">
        <v>40</v>
      </c>
      <c r="J38" t="s">
        <v>40</v>
      </c>
      <c r="K38" t="s">
        <v>42</v>
      </c>
      <c r="L38" t="s">
        <v>41</v>
      </c>
      <c r="M38">
        <v>1</v>
      </c>
      <c r="N38" t="s">
        <v>49</v>
      </c>
      <c r="O38" s="6" t="str">
        <f t="shared" ref="O38:O45" si="9">$O$7</f>
        <v>BXX</v>
      </c>
      <c r="P38" t="s">
        <v>1</v>
      </c>
      <c r="Q38" s="6" t="str">
        <f>$A$5&amp;".PB_SC"</f>
        <v>BXX_MXV1_ZI1.PB_SC</v>
      </c>
      <c r="R38" t="s">
        <v>1</v>
      </c>
      <c r="S38" s="6" t="str">
        <f t="shared" si="4"/>
        <v>Sample Valve Position Scan Enable</v>
      </c>
      <c r="T38">
        <v>0</v>
      </c>
      <c r="U38">
        <v>0</v>
      </c>
    </row>
    <row r="39" spans="1:21" x14ac:dyDescent="0.25">
      <c r="A39" s="3" t="str">
        <f>$A$5&amp;"_"&amp;"DA_ER"</f>
        <v>BXX_MXV1_ZI1_DA_ER</v>
      </c>
      <c r="B39" s="6" t="str">
        <f t="shared" si="8"/>
        <v>BXX_MXV1_ZI1</v>
      </c>
      <c r="C39" s="6" t="str">
        <f>$C$5 &amp; " Signal Error"</f>
        <v>Sample Valve Position Signal Error</v>
      </c>
      <c r="D39" s="4">
        <f t="shared" si="2"/>
        <v>34</v>
      </c>
      <c r="E39" t="s">
        <v>1</v>
      </c>
      <c r="F39" t="s">
        <v>1</v>
      </c>
      <c r="G39">
        <v>0</v>
      </c>
      <c r="H39" t="s">
        <v>0</v>
      </c>
      <c r="I39" t="s">
        <v>40</v>
      </c>
      <c r="J39" t="s">
        <v>54</v>
      </c>
      <c r="K39" t="s">
        <v>51</v>
      </c>
      <c r="L39" t="s">
        <v>42</v>
      </c>
      <c r="M39" s="2">
        <v>94</v>
      </c>
      <c r="N39" t="s">
        <v>49</v>
      </c>
      <c r="O39" s="6" t="str">
        <f t="shared" si="9"/>
        <v>BXX</v>
      </c>
      <c r="P39" t="s">
        <v>1</v>
      </c>
      <c r="Q39" s="6" t="str">
        <f>$A$5&amp;".DA_ER"</f>
        <v>BXX_MXV1_ZI1.DA_ER</v>
      </c>
      <c r="R39" t="s">
        <v>1</v>
      </c>
      <c r="S39" s="6" t="str">
        <f t="shared" si="4"/>
        <v>Sample Valve Position Signal Error</v>
      </c>
      <c r="T39">
        <v>0</v>
      </c>
      <c r="U39">
        <v>0</v>
      </c>
    </row>
    <row r="40" spans="1:21" x14ac:dyDescent="0.25">
      <c r="A40" s="3" t="str">
        <f>$A$5&amp;"_"&amp;"PB_ER"</f>
        <v>BXX_MXV1_ZI1_PB_ER</v>
      </c>
      <c r="B40" s="6" t="str">
        <f t="shared" si="8"/>
        <v>BXX_MXV1_ZI1</v>
      </c>
      <c r="C40" s="6" t="str">
        <f>$C$5 &amp; " Sig Error Alarm En"</f>
        <v>Sample Valve Position Sig Error Alarm En</v>
      </c>
      <c r="D40" s="4">
        <f t="shared" si="2"/>
        <v>40</v>
      </c>
      <c r="E40" t="s">
        <v>1</v>
      </c>
      <c r="F40" t="s">
        <v>0</v>
      </c>
      <c r="G40" s="2">
        <v>600</v>
      </c>
      <c r="H40" t="s">
        <v>0</v>
      </c>
      <c r="I40" t="s">
        <v>40</v>
      </c>
      <c r="J40" t="s">
        <v>52</v>
      </c>
      <c r="K40" t="s">
        <v>53</v>
      </c>
      <c r="L40" t="s">
        <v>41</v>
      </c>
      <c r="M40">
        <v>1</v>
      </c>
      <c r="N40" t="s">
        <v>49</v>
      </c>
      <c r="O40" s="6" t="str">
        <f t="shared" si="9"/>
        <v>BXX</v>
      </c>
      <c r="P40" t="s">
        <v>1</v>
      </c>
      <c r="Q40" s="6" t="str">
        <f>$A$5&amp;".PB_ER.RE"</f>
        <v>BXX_MXV1_ZI1.PB_ER.RE</v>
      </c>
      <c r="R40" t="s">
        <v>1</v>
      </c>
      <c r="S40" s="6" t="str">
        <f t="shared" si="4"/>
        <v>Sample Valve Position Sig Error Alarm En</v>
      </c>
      <c r="T40">
        <v>0</v>
      </c>
      <c r="U40">
        <v>0</v>
      </c>
    </row>
    <row r="41" spans="1:21" x14ac:dyDescent="0.25">
      <c r="A41" s="3" t="str">
        <f>$A$5&amp;"_"&amp;"PB_SV"</f>
        <v>BXX_MXV1_ZI1_PB_SV</v>
      </c>
      <c r="B41" s="6" t="str">
        <f t="shared" si="8"/>
        <v>BXX_MXV1_ZI1</v>
      </c>
      <c r="C41" s="6" t="str">
        <f>$C$5 &amp; " Override Enable"</f>
        <v>Sample Valve Position Override Enable</v>
      </c>
      <c r="D41" s="4">
        <f t="shared" si="2"/>
        <v>37</v>
      </c>
      <c r="E41" t="s">
        <v>1</v>
      </c>
      <c r="F41" t="s">
        <v>0</v>
      </c>
      <c r="G41" s="2">
        <v>600</v>
      </c>
      <c r="H41" t="s">
        <v>0</v>
      </c>
      <c r="I41" t="s">
        <v>40</v>
      </c>
      <c r="J41" t="s">
        <v>40</v>
      </c>
      <c r="K41" t="s">
        <v>42</v>
      </c>
      <c r="L41" t="s">
        <v>41</v>
      </c>
      <c r="M41">
        <v>1</v>
      </c>
      <c r="N41" t="s">
        <v>49</v>
      </c>
      <c r="O41" s="6" t="str">
        <f t="shared" si="9"/>
        <v>BXX</v>
      </c>
      <c r="P41" t="s">
        <v>1</v>
      </c>
      <c r="Q41" s="6" t="str">
        <f>$A$5&amp;".PB_SV"</f>
        <v>BXX_MXV1_ZI1.PB_SV</v>
      </c>
      <c r="R41" t="s">
        <v>1</v>
      </c>
      <c r="S41" s="6" t="str">
        <f t="shared" si="4"/>
        <v>Sample Valve Position Override Enable</v>
      </c>
      <c r="T41">
        <v>0</v>
      </c>
      <c r="U41">
        <v>0</v>
      </c>
    </row>
    <row r="42" spans="1:21" x14ac:dyDescent="0.25">
      <c r="A42" s="3" t="str">
        <f>$A$5&amp;"_"&amp;"DA_ZA"</f>
        <v>BXX_MXV1_ZI1_DA_ZA</v>
      </c>
      <c r="B42" s="6" t="str">
        <f t="shared" si="8"/>
        <v>BXX_MXV1_ZI1</v>
      </c>
      <c r="C42" s="6" t="str">
        <f>$C$5 &amp; " Deviation Alarm"</f>
        <v>Sample Valve Position Deviation Alarm</v>
      </c>
      <c r="D42" s="4">
        <f t="shared" si="2"/>
        <v>37</v>
      </c>
      <c r="E42" t="s">
        <v>1</v>
      </c>
      <c r="F42" t="s">
        <v>1</v>
      </c>
      <c r="G42">
        <v>0</v>
      </c>
      <c r="H42" t="s">
        <v>0</v>
      </c>
      <c r="I42" t="s">
        <v>40</v>
      </c>
      <c r="J42" t="s">
        <v>54</v>
      </c>
      <c r="K42" t="s">
        <v>51</v>
      </c>
      <c r="L42" t="s">
        <v>42</v>
      </c>
      <c r="M42" s="2">
        <v>94</v>
      </c>
      <c r="N42" t="s">
        <v>49</v>
      </c>
      <c r="O42" s="6" t="str">
        <f t="shared" si="9"/>
        <v>BXX</v>
      </c>
      <c r="P42" t="s">
        <v>1</v>
      </c>
      <c r="Q42" s="6" t="str">
        <f>$A$5&amp;".DA_ZA"</f>
        <v>BXX_MXV1_ZI1.DA_ZA</v>
      </c>
      <c r="R42" t="s">
        <v>1</v>
      </c>
      <c r="S42" s="6" t="str">
        <f t="shared" si="4"/>
        <v>Sample Valve Position Deviation Alarm</v>
      </c>
      <c r="T42">
        <v>0</v>
      </c>
      <c r="U42">
        <v>0</v>
      </c>
    </row>
    <row r="43" spans="1:21" x14ac:dyDescent="0.25">
      <c r="A43" s="3" t="str">
        <f>$A$5&amp;"_"&amp;"PB_ZA"</f>
        <v>BXX_MXV1_ZI1_PB_ZA</v>
      </c>
      <c r="B43" s="6" t="str">
        <f t="shared" si="8"/>
        <v>BXX_MXV1_ZI1</v>
      </c>
      <c r="C43" s="6" t="str">
        <f>$C$5 &amp; " Deviation Alarm En"</f>
        <v>Sample Valve Position Deviation Alarm En</v>
      </c>
      <c r="D43" s="4">
        <f t="shared" si="2"/>
        <v>40</v>
      </c>
      <c r="E43" t="s">
        <v>1</v>
      </c>
      <c r="F43" t="s">
        <v>0</v>
      </c>
      <c r="G43" s="2">
        <v>600</v>
      </c>
      <c r="H43" t="s">
        <v>0</v>
      </c>
      <c r="I43" t="s">
        <v>40</v>
      </c>
      <c r="J43" t="s">
        <v>52</v>
      </c>
      <c r="K43" t="s">
        <v>53</v>
      </c>
      <c r="L43" t="s">
        <v>41</v>
      </c>
      <c r="M43">
        <v>1</v>
      </c>
      <c r="N43" t="s">
        <v>49</v>
      </c>
      <c r="O43" s="6" t="str">
        <f t="shared" si="9"/>
        <v>BXX</v>
      </c>
      <c r="P43" t="s">
        <v>1</v>
      </c>
      <c r="Q43" s="6" t="str">
        <f>$A$5&amp;".PB_ZA.RE"</f>
        <v>BXX_MXV1_ZI1.PB_ZA.RE</v>
      </c>
      <c r="R43" t="s">
        <v>1</v>
      </c>
      <c r="S43" s="6" t="str">
        <f t="shared" si="4"/>
        <v>Sample Valve Position Deviation Alarm En</v>
      </c>
      <c r="T43">
        <v>0</v>
      </c>
      <c r="U43">
        <v>0</v>
      </c>
    </row>
    <row r="44" spans="1:21" x14ac:dyDescent="0.25">
      <c r="A44" s="3" t="str">
        <f>$A$5&amp;"_"&amp;"PB_ZA_DE"</f>
        <v>BXX_MXV1_ZI1_PB_ZA_DE</v>
      </c>
      <c r="B44" s="6" t="str">
        <f>$A$5</f>
        <v>BXX_MXV1_ZI1</v>
      </c>
      <c r="C44" s="6" t="str">
        <f>$C$3 &amp; " Deviation Dialer Enable"</f>
        <v>Sample Valve Deviation Dialer Enable</v>
      </c>
      <c r="D44" s="4">
        <f t="shared" si="2"/>
        <v>36</v>
      </c>
      <c r="E44" t="s">
        <v>1</v>
      </c>
      <c r="F44" t="s">
        <v>0</v>
      </c>
      <c r="G44" s="2">
        <v>600</v>
      </c>
      <c r="H44" t="s">
        <v>0</v>
      </c>
      <c r="I44" t="s">
        <v>40</v>
      </c>
      <c r="J44" t="s">
        <v>52</v>
      </c>
      <c r="K44" t="s">
        <v>53</v>
      </c>
      <c r="L44" t="s">
        <v>41</v>
      </c>
      <c r="M44">
        <v>1</v>
      </c>
      <c r="N44" t="s">
        <v>49</v>
      </c>
      <c r="O44" s="6" t="str">
        <f t="shared" si="9"/>
        <v>BXX</v>
      </c>
      <c r="P44" t="s">
        <v>1</v>
      </c>
      <c r="Q44" s="6" t="str">
        <f>$A$5&amp;".PB_ZA.DE"</f>
        <v>BXX_MXV1_ZI1.PB_ZA.DE</v>
      </c>
      <c r="R44" t="s">
        <v>1</v>
      </c>
      <c r="S44" s="6" t="str">
        <f t="shared" si="4"/>
        <v>Sample Valve Deviation Dialer Enable</v>
      </c>
      <c r="T44">
        <v>0</v>
      </c>
      <c r="U44">
        <v>0</v>
      </c>
    </row>
    <row r="45" spans="1:21" x14ac:dyDescent="0.25">
      <c r="A45" s="3" t="str">
        <f>$A$5&amp;"_"&amp;"PB_ZA_SR"</f>
        <v>BXX_MXV1_ZI1_PB_ZA_SR</v>
      </c>
      <c r="B45" s="6" t="str">
        <f>$A$5</f>
        <v>BXX_MXV1_ZI1</v>
      </c>
      <c r="C45" s="6" t="str">
        <f>$C$3 &amp; " Deviation Sup Enable"</f>
        <v>Sample Valve Deviation Sup Enable</v>
      </c>
      <c r="D45" s="4">
        <f t="shared" si="2"/>
        <v>33</v>
      </c>
      <c r="E45" t="s">
        <v>1</v>
      </c>
      <c r="F45" t="s">
        <v>0</v>
      </c>
      <c r="G45" s="2">
        <v>600</v>
      </c>
      <c r="H45" t="s">
        <v>0</v>
      </c>
      <c r="I45" t="s">
        <v>40</v>
      </c>
      <c r="J45" t="s">
        <v>52</v>
      </c>
      <c r="K45" t="s">
        <v>53</v>
      </c>
      <c r="L45" t="s">
        <v>41</v>
      </c>
      <c r="M45">
        <v>1</v>
      </c>
      <c r="N45" t="s">
        <v>49</v>
      </c>
      <c r="O45" s="6" t="str">
        <f t="shared" si="9"/>
        <v>BXX</v>
      </c>
      <c r="P45" t="s">
        <v>1</v>
      </c>
      <c r="Q45" s="6" t="str">
        <f>$A$5&amp;".PB_ZA.SR"</f>
        <v>BXX_MXV1_ZI1.PB_ZA.SR</v>
      </c>
      <c r="R45" t="s">
        <v>1</v>
      </c>
      <c r="S45" s="6" t="str">
        <f t="shared" si="4"/>
        <v>Sample Valve Deviation Sup Enable</v>
      </c>
      <c r="T45">
        <v>0</v>
      </c>
      <c r="U45">
        <v>0</v>
      </c>
    </row>
    <row r="46" spans="1:21" x14ac:dyDescent="0.25">
      <c r="A46" s="3" t="str">
        <f>$A$3&amp;"_"&amp;"DA_GA"</f>
        <v>BXX_DEV1_FV1_DA_GA</v>
      </c>
      <c r="B46" s="6" t="str">
        <f t="shared" ref="B46:B49" si="10">$A$3</f>
        <v>BXX_DEV1_FV1</v>
      </c>
      <c r="C46" s="6" t="str">
        <f>$C$3&amp;" General Alarm"</f>
        <v>Sample Valve General Alarm</v>
      </c>
      <c r="D46" s="4">
        <f t="shared" si="2"/>
        <v>26</v>
      </c>
      <c r="E46" t="s">
        <v>1</v>
      </c>
      <c r="F46" t="s">
        <v>1</v>
      </c>
      <c r="G46">
        <v>0</v>
      </c>
      <c r="H46" t="s">
        <v>0</v>
      </c>
      <c r="I46" t="s">
        <v>40</v>
      </c>
      <c r="J46" t="s">
        <v>50</v>
      </c>
      <c r="K46" t="s">
        <v>51</v>
      </c>
      <c r="L46" t="s">
        <v>42</v>
      </c>
      <c r="M46" s="2">
        <v>63</v>
      </c>
      <c r="N46" t="s">
        <v>49</v>
      </c>
      <c r="O46" s="6" t="str">
        <f t="shared" ref="O46:O49" si="11">$O$9</f>
        <v>BXX</v>
      </c>
      <c r="P46" t="s">
        <v>1</v>
      </c>
      <c r="Q46" s="6" t="str">
        <f>$A$3&amp;".DA_GA.eng"</f>
        <v>BXX_DEV1_FV1.DA_GA.eng</v>
      </c>
      <c r="R46" t="s">
        <v>1</v>
      </c>
      <c r="S46" s="6" t="str">
        <f t="shared" si="4"/>
        <v>Sample Valve General Alarm</v>
      </c>
      <c r="T46">
        <v>0</v>
      </c>
      <c r="U46">
        <v>0</v>
      </c>
    </row>
    <row r="47" spans="1:21" x14ac:dyDescent="0.25">
      <c r="A47" s="3" t="str">
        <f>$A$3&amp;"_"&amp;"PB_GA_RE"</f>
        <v>BXX_DEV1_FV1_PB_GA_RE</v>
      </c>
      <c r="B47" s="6" t="str">
        <f t="shared" si="10"/>
        <v>BXX_DEV1_FV1</v>
      </c>
      <c r="C47" s="6" t="str">
        <f>$C$3&amp;" General Alarm Enable"</f>
        <v>Sample Valve General Alarm Enable</v>
      </c>
      <c r="D47" s="4">
        <f t="shared" si="2"/>
        <v>33</v>
      </c>
      <c r="E47" t="s">
        <v>1</v>
      </c>
      <c r="F47" t="s">
        <v>0</v>
      </c>
      <c r="G47" s="2">
        <v>600</v>
      </c>
      <c r="H47" t="s">
        <v>0</v>
      </c>
      <c r="I47" t="s">
        <v>40</v>
      </c>
      <c r="J47" t="s">
        <v>52</v>
      </c>
      <c r="K47" t="s">
        <v>53</v>
      </c>
      <c r="L47" t="s">
        <v>41</v>
      </c>
      <c r="M47">
        <v>1</v>
      </c>
      <c r="N47" t="s">
        <v>49</v>
      </c>
      <c r="O47" s="6" t="str">
        <f t="shared" si="11"/>
        <v>BXX</v>
      </c>
      <c r="P47" t="s">
        <v>1</v>
      </c>
      <c r="Q47" s="6" t="str">
        <f>$A$3&amp;".DA_GA.RE"</f>
        <v>BXX_DEV1_FV1.DA_GA.RE</v>
      </c>
      <c r="R47" t="s">
        <v>1</v>
      </c>
      <c r="S47" s="6" t="str">
        <f t="shared" si="4"/>
        <v>Sample Valve General Alarm Enable</v>
      </c>
      <c r="T47">
        <v>0</v>
      </c>
      <c r="U47">
        <v>0</v>
      </c>
    </row>
    <row r="48" spans="1:21" x14ac:dyDescent="0.25">
      <c r="A48" s="3" t="str">
        <f>$A$3&amp;"_"&amp;"PB_GA_DE"</f>
        <v>BXX_DEV1_FV1_PB_GA_DE</v>
      </c>
      <c r="B48" s="6" t="str">
        <f t="shared" si="10"/>
        <v>BXX_DEV1_FV1</v>
      </c>
      <c r="C48" s="6" t="str">
        <f>$C$3&amp;" General Alarm Dialer Enable"</f>
        <v>Sample Valve General Alarm Dialer Enable</v>
      </c>
      <c r="D48" s="4">
        <f t="shared" si="2"/>
        <v>40</v>
      </c>
      <c r="E48" t="s">
        <v>1</v>
      </c>
      <c r="F48" t="s">
        <v>0</v>
      </c>
      <c r="G48" s="2">
        <v>600</v>
      </c>
      <c r="H48" t="s">
        <v>0</v>
      </c>
      <c r="I48" t="s">
        <v>40</v>
      </c>
      <c r="J48" t="s">
        <v>52</v>
      </c>
      <c r="K48" t="s">
        <v>53</v>
      </c>
      <c r="L48" t="s">
        <v>41</v>
      </c>
      <c r="M48">
        <v>1</v>
      </c>
      <c r="N48" t="s">
        <v>49</v>
      </c>
      <c r="O48" s="6" t="str">
        <f t="shared" si="11"/>
        <v>BXX</v>
      </c>
      <c r="P48" t="s">
        <v>1</v>
      </c>
      <c r="Q48" s="6" t="str">
        <f>$A$3&amp;".DA_GA.DE"</f>
        <v>BXX_DEV1_FV1.DA_GA.DE</v>
      </c>
      <c r="R48" t="s">
        <v>1</v>
      </c>
      <c r="S48" s="6" t="str">
        <f t="shared" si="4"/>
        <v>Sample Valve General Alarm Dialer Enable</v>
      </c>
      <c r="T48">
        <v>0</v>
      </c>
      <c r="U48">
        <v>0</v>
      </c>
    </row>
    <row r="49" spans="1:64" x14ac:dyDescent="0.25">
      <c r="A49" s="3" t="str">
        <f>$A$3&amp;"_"&amp;"PB_GA_SR"</f>
        <v>BXX_DEV1_FV1_PB_GA_SR</v>
      </c>
      <c r="B49" s="6" t="str">
        <f t="shared" si="10"/>
        <v>BXX_DEV1_FV1</v>
      </c>
      <c r="C49" s="6" t="str">
        <f>$C$3&amp;" General Alarm Sup Enable"</f>
        <v>Sample Valve General Alarm Sup Enable</v>
      </c>
      <c r="D49" s="4">
        <f t="shared" si="2"/>
        <v>37</v>
      </c>
      <c r="E49" t="s">
        <v>1</v>
      </c>
      <c r="F49" t="s">
        <v>0</v>
      </c>
      <c r="G49" s="2">
        <v>600</v>
      </c>
      <c r="H49" t="s">
        <v>0</v>
      </c>
      <c r="I49" t="s">
        <v>40</v>
      </c>
      <c r="J49" t="s">
        <v>52</v>
      </c>
      <c r="K49" t="s">
        <v>53</v>
      </c>
      <c r="L49" t="s">
        <v>41</v>
      </c>
      <c r="M49">
        <v>1</v>
      </c>
      <c r="N49" t="s">
        <v>49</v>
      </c>
      <c r="O49" s="6" t="str">
        <f t="shared" si="11"/>
        <v>BXX</v>
      </c>
      <c r="P49" t="s">
        <v>1</v>
      </c>
      <c r="Q49" s="6" t="str">
        <f>$A$3&amp;".DA_GA.SR"</f>
        <v>BXX_DEV1_FV1.DA_GA.SR</v>
      </c>
      <c r="R49" t="s">
        <v>1</v>
      </c>
      <c r="S49" s="6" t="str">
        <f t="shared" si="4"/>
        <v>Sample Valve General Alarm Sup Enable</v>
      </c>
      <c r="T49">
        <v>0</v>
      </c>
      <c r="U49">
        <v>0</v>
      </c>
    </row>
    <row r="50" spans="1:64" s="140" customFormat="1" x14ac:dyDescent="0.25">
      <c r="A50" s="143" t="s">
        <v>65</v>
      </c>
      <c r="B50" s="143" t="s">
        <v>4</v>
      </c>
      <c r="C50" s="143" t="s">
        <v>5</v>
      </c>
      <c r="D50" s="4"/>
      <c r="E50" s="144" t="s">
        <v>30</v>
      </c>
      <c r="F50" s="144" t="s">
        <v>6</v>
      </c>
      <c r="G50" s="144" t="s">
        <v>7</v>
      </c>
      <c r="H50" s="144" t="s">
        <v>31</v>
      </c>
      <c r="I50" s="144" t="s">
        <v>66</v>
      </c>
      <c r="J50" s="144" t="s">
        <v>67</v>
      </c>
      <c r="K50" s="144" t="s">
        <v>68</v>
      </c>
      <c r="L50" s="144" t="s">
        <v>69</v>
      </c>
      <c r="M50" s="144" t="s">
        <v>70</v>
      </c>
      <c r="N50" s="144" t="s">
        <v>71</v>
      </c>
      <c r="O50" s="144" t="s">
        <v>72</v>
      </c>
      <c r="P50" s="144" t="s">
        <v>73</v>
      </c>
      <c r="Q50" s="144" t="s">
        <v>74</v>
      </c>
      <c r="R50" s="144" t="s">
        <v>75</v>
      </c>
      <c r="S50" s="144" t="s">
        <v>76</v>
      </c>
      <c r="T50" s="144" t="s">
        <v>77</v>
      </c>
      <c r="U50" s="144" t="s">
        <v>78</v>
      </c>
      <c r="V50" s="144" t="s">
        <v>79</v>
      </c>
      <c r="W50" s="144" t="s">
        <v>80</v>
      </c>
      <c r="X50" s="144" t="s">
        <v>81</v>
      </c>
      <c r="Y50" s="144" t="s">
        <v>82</v>
      </c>
      <c r="Z50" s="144" t="s">
        <v>83</v>
      </c>
      <c r="AA50" s="144" t="s">
        <v>84</v>
      </c>
      <c r="AB50" s="144" t="s">
        <v>85</v>
      </c>
      <c r="AC50" s="144" t="s">
        <v>86</v>
      </c>
      <c r="AD50" s="144" t="s">
        <v>87</v>
      </c>
      <c r="AE50" s="144" t="s">
        <v>88</v>
      </c>
      <c r="AF50" s="144" t="s">
        <v>89</v>
      </c>
      <c r="AG50" s="144" t="s">
        <v>90</v>
      </c>
      <c r="AH50" s="144" t="s">
        <v>91</v>
      </c>
      <c r="AI50" s="144" t="s">
        <v>92</v>
      </c>
      <c r="AJ50" s="144" t="s">
        <v>93</v>
      </c>
      <c r="AK50" s="144" t="s">
        <v>94</v>
      </c>
      <c r="AL50" s="144" t="s">
        <v>95</v>
      </c>
      <c r="AM50" s="144" t="s">
        <v>96</v>
      </c>
      <c r="AN50" s="144" t="s">
        <v>97</v>
      </c>
      <c r="AO50" s="144" t="s">
        <v>37</v>
      </c>
      <c r="AP50" s="144" t="s">
        <v>38</v>
      </c>
      <c r="AQ50" s="144" t="s">
        <v>8</v>
      </c>
      <c r="AR50" s="144" t="s">
        <v>9</v>
      </c>
      <c r="AS50" s="144" t="s">
        <v>10</v>
      </c>
      <c r="AT50" s="144" t="s">
        <v>11</v>
      </c>
      <c r="AU50" s="144" t="s">
        <v>12</v>
      </c>
      <c r="AV50" s="144" t="s">
        <v>13</v>
      </c>
      <c r="AW50" s="144" t="s">
        <v>14</v>
      </c>
      <c r="AX50" s="144" t="s">
        <v>16</v>
      </c>
      <c r="AY50" s="144" t="s">
        <v>17</v>
      </c>
      <c r="AZ50" s="144" t="s">
        <v>18</v>
      </c>
      <c r="BA50" s="144" t="s">
        <v>19</v>
      </c>
      <c r="BB50" s="144" t="s">
        <v>20</v>
      </c>
      <c r="BC50" s="144" t="s">
        <v>21</v>
      </c>
      <c r="BD50" s="144" t="s">
        <v>22</v>
      </c>
      <c r="BE50" s="144" t="s">
        <v>39</v>
      </c>
    </row>
    <row r="51" spans="1:64" s="140" customFormat="1" x14ac:dyDescent="0.25">
      <c r="A51" s="141" t="s">
        <v>334</v>
      </c>
      <c r="B51" s="141" t="s">
        <v>144</v>
      </c>
      <c r="C51" s="141" t="s">
        <v>335</v>
      </c>
      <c r="D51" s="4"/>
      <c r="E51" s="142" t="s">
        <v>1</v>
      </c>
      <c r="F51" s="142" t="s">
        <v>1</v>
      </c>
      <c r="G51" s="142">
        <v>0</v>
      </c>
      <c r="H51" s="142" t="s">
        <v>0</v>
      </c>
      <c r="I51" s="142" t="s">
        <v>1</v>
      </c>
      <c r="J51" s="142">
        <v>0</v>
      </c>
      <c r="K51" s="142">
        <v>0</v>
      </c>
      <c r="L51" s="142"/>
      <c r="M51" s="142">
        <v>0</v>
      </c>
      <c r="N51" s="142">
        <v>0</v>
      </c>
      <c r="O51" s="142">
        <v>1</v>
      </c>
      <c r="P51" s="142">
        <v>0</v>
      </c>
      <c r="Q51" s="142">
        <v>0</v>
      </c>
      <c r="R51" s="142" t="s">
        <v>40</v>
      </c>
      <c r="S51" s="142">
        <v>0</v>
      </c>
      <c r="T51" s="142">
        <v>1</v>
      </c>
      <c r="U51" s="142" t="s">
        <v>40</v>
      </c>
      <c r="V51" s="142">
        <v>0</v>
      </c>
      <c r="W51" s="142">
        <v>1</v>
      </c>
      <c r="X51" s="142" t="s">
        <v>40</v>
      </c>
      <c r="Y51" s="142">
        <v>0</v>
      </c>
      <c r="Z51" s="142">
        <v>1</v>
      </c>
      <c r="AA51" s="142" t="s">
        <v>40</v>
      </c>
      <c r="AB51" s="142">
        <v>0</v>
      </c>
      <c r="AC51" s="142">
        <v>1</v>
      </c>
      <c r="AD51" s="142" t="s">
        <v>40</v>
      </c>
      <c r="AE51" s="142">
        <v>0</v>
      </c>
      <c r="AF51" s="142">
        <v>1</v>
      </c>
      <c r="AG51" s="142" t="s">
        <v>40</v>
      </c>
      <c r="AH51" s="142">
        <v>0</v>
      </c>
      <c r="AI51" s="142">
        <v>1</v>
      </c>
      <c r="AJ51" s="142">
        <v>0</v>
      </c>
      <c r="AK51" s="142" t="s">
        <v>40</v>
      </c>
      <c r="AL51" s="142">
        <v>0</v>
      </c>
      <c r="AM51" s="142">
        <v>1</v>
      </c>
      <c r="AN51" s="142" t="s">
        <v>98</v>
      </c>
      <c r="AO51" s="262" t="s">
        <v>335</v>
      </c>
      <c r="AP51" s="142">
        <v>0</v>
      </c>
      <c r="AQ51" s="142">
        <v>0</v>
      </c>
      <c r="AR51" s="142">
        <v>0</v>
      </c>
      <c r="AS51" s="142">
        <v>0</v>
      </c>
      <c r="AT51" s="142">
        <v>0</v>
      </c>
      <c r="AU51" s="142">
        <v>0</v>
      </c>
      <c r="AV51" s="142">
        <v>0</v>
      </c>
      <c r="AW51" s="142">
        <v>0</v>
      </c>
    </row>
    <row r="52" spans="1:64" s="140" customFormat="1" x14ac:dyDescent="0.25">
      <c r="A52" s="141" t="s">
        <v>336</v>
      </c>
      <c r="B52" s="141" t="s">
        <v>144</v>
      </c>
      <c r="C52" s="141" t="s">
        <v>337</v>
      </c>
      <c r="D52" s="4"/>
      <c r="E52" s="142" t="s">
        <v>1</v>
      </c>
      <c r="F52" s="142" t="s">
        <v>1</v>
      </c>
      <c r="G52" s="142">
        <v>0</v>
      </c>
      <c r="H52" s="142" t="s">
        <v>1</v>
      </c>
      <c r="I52" s="142" t="s">
        <v>1</v>
      </c>
      <c r="J52" s="142">
        <v>0</v>
      </c>
      <c r="K52" s="142">
        <v>0</v>
      </c>
      <c r="L52" s="142"/>
      <c r="M52" s="142">
        <v>0</v>
      </c>
      <c r="N52" s="142">
        <v>0</v>
      </c>
      <c r="O52" s="142">
        <v>1</v>
      </c>
      <c r="P52" s="142">
        <v>0</v>
      </c>
      <c r="Q52" s="142">
        <v>0</v>
      </c>
      <c r="R52" s="142" t="s">
        <v>40</v>
      </c>
      <c r="S52" s="142">
        <v>0</v>
      </c>
      <c r="T52" s="142">
        <v>1</v>
      </c>
      <c r="U52" s="142" t="s">
        <v>40</v>
      </c>
      <c r="V52" s="142">
        <v>0</v>
      </c>
      <c r="W52" s="142">
        <v>1</v>
      </c>
      <c r="X52" s="142" t="s">
        <v>40</v>
      </c>
      <c r="Y52" s="142">
        <v>0</v>
      </c>
      <c r="Z52" s="142">
        <v>1</v>
      </c>
      <c r="AA52" s="142" t="s">
        <v>40</v>
      </c>
      <c r="AB52" s="142">
        <v>0</v>
      </c>
      <c r="AC52" s="142">
        <v>1</v>
      </c>
      <c r="AD52" s="142" t="s">
        <v>40</v>
      </c>
      <c r="AE52" s="142">
        <v>0</v>
      </c>
      <c r="AF52" s="142">
        <v>1</v>
      </c>
      <c r="AG52" s="142" t="s">
        <v>40</v>
      </c>
      <c r="AH52" s="142">
        <v>0</v>
      </c>
      <c r="AI52" s="142">
        <v>1</v>
      </c>
      <c r="AJ52" s="142">
        <v>0</v>
      </c>
      <c r="AK52" s="142" t="s">
        <v>40</v>
      </c>
      <c r="AL52" s="142">
        <v>0</v>
      </c>
      <c r="AM52" s="142">
        <v>1</v>
      </c>
      <c r="AN52" s="142" t="s">
        <v>98</v>
      </c>
      <c r="AO52" s="262" t="s">
        <v>337</v>
      </c>
      <c r="AP52" s="142">
        <v>0</v>
      </c>
      <c r="AQ52" s="142">
        <v>0</v>
      </c>
      <c r="AR52" s="142">
        <v>0</v>
      </c>
      <c r="AS52" s="142">
        <v>0</v>
      </c>
      <c r="AT52" s="142">
        <v>0</v>
      </c>
      <c r="AU52" s="142">
        <v>0</v>
      </c>
      <c r="AV52" s="142">
        <v>0</v>
      </c>
      <c r="AW52" s="142">
        <v>0</v>
      </c>
    </row>
    <row r="53" spans="1:64" s="140" customFormat="1" x14ac:dyDescent="0.25">
      <c r="A53" s="141" t="s">
        <v>338</v>
      </c>
      <c r="B53" s="141" t="s">
        <v>144</v>
      </c>
      <c r="C53" s="141" t="s">
        <v>339</v>
      </c>
      <c r="D53" s="4"/>
      <c r="E53" s="142" t="s">
        <v>1</v>
      </c>
      <c r="F53" s="142" t="s">
        <v>1</v>
      </c>
      <c r="G53" s="142">
        <v>0</v>
      </c>
      <c r="H53" s="142" t="s">
        <v>1</v>
      </c>
      <c r="I53" s="142" t="s">
        <v>1</v>
      </c>
      <c r="J53" s="142">
        <v>0</v>
      </c>
      <c r="K53" s="142">
        <v>0</v>
      </c>
      <c r="L53" s="142"/>
      <c r="M53" s="142">
        <v>0</v>
      </c>
      <c r="N53" s="142">
        <v>0</v>
      </c>
      <c r="O53" s="142">
        <v>1</v>
      </c>
      <c r="P53" s="142">
        <v>0</v>
      </c>
      <c r="Q53" s="142">
        <v>0</v>
      </c>
      <c r="R53" s="142" t="s">
        <v>40</v>
      </c>
      <c r="S53" s="142">
        <v>0</v>
      </c>
      <c r="T53" s="142">
        <v>1</v>
      </c>
      <c r="U53" s="142" t="s">
        <v>40</v>
      </c>
      <c r="V53" s="142">
        <v>0</v>
      </c>
      <c r="W53" s="142">
        <v>1</v>
      </c>
      <c r="X53" s="142" t="s">
        <v>40</v>
      </c>
      <c r="Y53" s="142">
        <v>0</v>
      </c>
      <c r="Z53" s="142">
        <v>1</v>
      </c>
      <c r="AA53" s="142" t="s">
        <v>40</v>
      </c>
      <c r="AB53" s="142">
        <v>0</v>
      </c>
      <c r="AC53" s="142">
        <v>1</v>
      </c>
      <c r="AD53" s="142" t="s">
        <v>40</v>
      </c>
      <c r="AE53" s="142">
        <v>0</v>
      </c>
      <c r="AF53" s="142">
        <v>1</v>
      </c>
      <c r="AG53" s="142" t="s">
        <v>40</v>
      </c>
      <c r="AH53" s="142">
        <v>0</v>
      </c>
      <c r="AI53" s="142">
        <v>1</v>
      </c>
      <c r="AJ53" s="142">
        <v>0</v>
      </c>
      <c r="AK53" s="142" t="s">
        <v>40</v>
      </c>
      <c r="AL53" s="142">
        <v>0</v>
      </c>
      <c r="AM53" s="142">
        <v>1</v>
      </c>
      <c r="AN53" s="142" t="s">
        <v>98</v>
      </c>
      <c r="AO53" s="262" t="s">
        <v>339</v>
      </c>
      <c r="AP53" s="142">
        <v>0</v>
      </c>
      <c r="AQ53" s="142">
        <v>0</v>
      </c>
      <c r="AR53" s="142">
        <v>0</v>
      </c>
      <c r="AS53" s="142">
        <v>0</v>
      </c>
      <c r="AT53" s="142">
        <v>0</v>
      </c>
      <c r="AU53" s="142">
        <v>0</v>
      </c>
      <c r="AV53" s="142">
        <v>0</v>
      </c>
      <c r="AW53" s="142">
        <v>0</v>
      </c>
    </row>
    <row r="54" spans="1:64" x14ac:dyDescent="0.25">
      <c r="A54" s="1" t="s">
        <v>100</v>
      </c>
      <c r="B54" t="s">
        <v>4</v>
      </c>
      <c r="C54" t="s">
        <v>5</v>
      </c>
      <c r="D54" s="4">
        <f t="shared" ref="D54:D61" si="12">LEN(C54)</f>
        <v>7</v>
      </c>
      <c r="E54" t="s">
        <v>30</v>
      </c>
      <c r="F54" t="s">
        <v>6</v>
      </c>
      <c r="G54" t="s">
        <v>7</v>
      </c>
      <c r="H54" t="s">
        <v>31</v>
      </c>
      <c r="I54" t="s">
        <v>66</v>
      </c>
      <c r="J54" t="s">
        <v>67</v>
      </c>
      <c r="K54" t="s">
        <v>68</v>
      </c>
      <c r="L54" t="s">
        <v>69</v>
      </c>
      <c r="M54" t="s">
        <v>70</v>
      </c>
      <c r="N54" t="s">
        <v>101</v>
      </c>
      <c r="O54" t="s">
        <v>102</v>
      </c>
      <c r="P54" t="s">
        <v>73</v>
      </c>
      <c r="Q54" t="s">
        <v>74</v>
      </c>
      <c r="R54" t="s">
        <v>75</v>
      </c>
      <c r="S54" t="s">
        <v>76</v>
      </c>
      <c r="T54" t="s">
        <v>77</v>
      </c>
      <c r="U54" t="s">
        <v>78</v>
      </c>
      <c r="V54" t="s">
        <v>79</v>
      </c>
      <c r="W54" t="s">
        <v>80</v>
      </c>
      <c r="X54" t="s">
        <v>81</v>
      </c>
      <c r="Y54" t="s">
        <v>82</v>
      </c>
      <c r="Z54" t="s">
        <v>83</v>
      </c>
      <c r="AA54" t="s">
        <v>84</v>
      </c>
      <c r="AB54" t="s">
        <v>85</v>
      </c>
      <c r="AC54" t="s">
        <v>86</v>
      </c>
      <c r="AD54" t="s">
        <v>87</v>
      </c>
      <c r="AE54" t="s">
        <v>88</v>
      </c>
      <c r="AF54" t="s">
        <v>89</v>
      </c>
      <c r="AG54" t="s">
        <v>90</v>
      </c>
      <c r="AH54" t="s">
        <v>91</v>
      </c>
      <c r="AI54" t="s">
        <v>92</v>
      </c>
      <c r="AJ54" t="s">
        <v>93</v>
      </c>
      <c r="AK54" t="s">
        <v>94</v>
      </c>
      <c r="AL54" t="s">
        <v>95</v>
      </c>
      <c r="AM54" t="s">
        <v>96</v>
      </c>
      <c r="AN54" t="s">
        <v>97</v>
      </c>
      <c r="AO54" t="s">
        <v>103</v>
      </c>
      <c r="AP54" t="s">
        <v>104</v>
      </c>
      <c r="AQ54" t="s">
        <v>105</v>
      </c>
      <c r="AR54" t="s">
        <v>45</v>
      </c>
      <c r="AS54" t="s">
        <v>46</v>
      </c>
      <c r="AT54" t="s">
        <v>47</v>
      </c>
      <c r="AU54" t="s">
        <v>48</v>
      </c>
      <c r="AV54" t="s">
        <v>37</v>
      </c>
      <c r="AW54" t="s">
        <v>38</v>
      </c>
      <c r="AX54" t="s">
        <v>8</v>
      </c>
      <c r="AY54" t="s">
        <v>9</v>
      </c>
      <c r="AZ54" t="s">
        <v>10</v>
      </c>
      <c r="BA54" t="s">
        <v>11</v>
      </c>
      <c r="BB54" t="s">
        <v>12</v>
      </c>
      <c r="BC54" t="s">
        <v>13</v>
      </c>
      <c r="BD54" t="s">
        <v>14</v>
      </c>
      <c r="BE54" t="s">
        <v>16</v>
      </c>
      <c r="BF54" t="s">
        <v>17</v>
      </c>
      <c r="BG54" t="s">
        <v>18</v>
      </c>
      <c r="BH54" t="s">
        <v>19</v>
      </c>
      <c r="BI54" t="s">
        <v>20</v>
      </c>
      <c r="BJ54" t="s">
        <v>21</v>
      </c>
      <c r="BK54" t="s">
        <v>22</v>
      </c>
      <c r="BL54" t="s">
        <v>39</v>
      </c>
    </row>
    <row r="55" spans="1:64" x14ac:dyDescent="0.25">
      <c r="A55" s="3" t="str">
        <f>$A$5&amp;"_"&amp;"AI_VI"</f>
        <v>BXX_MXV1_ZI1_AI_VI</v>
      </c>
      <c r="B55" s="6" t="str">
        <f>$A$5</f>
        <v>BXX_MXV1_ZI1</v>
      </c>
      <c r="C55" s="6" t="str">
        <f>$C$5 &amp; " Number of Vis Eng Values"</f>
        <v>Sample Valve Position Number of Vis Eng Values</v>
      </c>
      <c r="D55" s="4">
        <f t="shared" si="12"/>
        <v>46</v>
      </c>
      <c r="E55" t="s">
        <v>1</v>
      </c>
      <c r="F55" t="s">
        <v>0</v>
      </c>
      <c r="G55" s="2">
        <v>700</v>
      </c>
      <c r="H55" t="s">
        <v>0</v>
      </c>
      <c r="I55" t="s">
        <v>1</v>
      </c>
      <c r="J55">
        <v>0</v>
      </c>
      <c r="K55">
        <v>0</v>
      </c>
      <c r="M55" s="6">
        <f>N55</f>
        <v>1</v>
      </c>
      <c r="N55">
        <v>1</v>
      </c>
      <c r="O55">
        <v>3</v>
      </c>
      <c r="P55">
        <v>0</v>
      </c>
      <c r="Q55">
        <v>0</v>
      </c>
      <c r="R55" t="s">
        <v>40</v>
      </c>
      <c r="S55">
        <v>0</v>
      </c>
      <c r="T55">
        <v>1</v>
      </c>
      <c r="U55" t="s">
        <v>40</v>
      </c>
      <c r="V55">
        <v>0</v>
      </c>
      <c r="W55">
        <v>1</v>
      </c>
      <c r="X55" t="s">
        <v>40</v>
      </c>
      <c r="Y55">
        <v>0</v>
      </c>
      <c r="Z55">
        <v>1</v>
      </c>
      <c r="AA55" t="s">
        <v>40</v>
      </c>
      <c r="AB55">
        <v>0</v>
      </c>
      <c r="AC55">
        <v>1</v>
      </c>
      <c r="AD55" t="s">
        <v>40</v>
      </c>
      <c r="AE55">
        <v>0</v>
      </c>
      <c r="AF55">
        <v>1</v>
      </c>
      <c r="AG55" t="s">
        <v>40</v>
      </c>
      <c r="AH55">
        <v>0</v>
      </c>
      <c r="AI55">
        <v>1</v>
      </c>
      <c r="AJ55">
        <v>0</v>
      </c>
      <c r="AK55" t="s">
        <v>40</v>
      </c>
      <c r="AL55">
        <v>0</v>
      </c>
      <c r="AM55">
        <v>1</v>
      </c>
      <c r="AN55" t="s">
        <v>98</v>
      </c>
      <c r="AO55" s="6">
        <f>N55</f>
        <v>1</v>
      </c>
      <c r="AP55" s="6">
        <f>O55</f>
        <v>3</v>
      </c>
      <c r="AQ55" t="s">
        <v>106</v>
      </c>
      <c r="AR55" s="6" t="str">
        <f>$O$7</f>
        <v>BXX</v>
      </c>
      <c r="AS55" t="s">
        <v>1</v>
      </c>
      <c r="AT55" s="6" t="str">
        <f>$A$5&amp;".AI_VI"</f>
        <v>BXX_MXV1_ZI1.AI_VI</v>
      </c>
      <c r="AU55" t="s">
        <v>1</v>
      </c>
      <c r="AV55" s="6" t="str">
        <f>C55</f>
        <v>Sample Valve Position Number of Vis Eng Values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</row>
    <row r="56" spans="1:64" x14ac:dyDescent="0.25">
      <c r="A56" s="3" t="str">
        <f>$A$5&amp;"_"&amp;"AI_DC"</f>
        <v>BXX_MXV1_ZI1_AI_DC</v>
      </c>
      <c r="B56" s="6" t="str">
        <f t="shared" ref="B56:B58" si="13">$A$5</f>
        <v>BXX_MXV1_ZI1</v>
      </c>
      <c r="C56" s="6" t="str">
        <f>$C$5 &amp; " Precision"</f>
        <v>Sample Valve Position Precision</v>
      </c>
      <c r="D56" s="4">
        <f t="shared" si="12"/>
        <v>31</v>
      </c>
      <c r="E56" t="s">
        <v>1</v>
      </c>
      <c r="F56" t="s">
        <v>0</v>
      </c>
      <c r="G56" s="2">
        <v>700</v>
      </c>
      <c r="H56" t="s">
        <v>0</v>
      </c>
      <c r="I56" t="s">
        <v>1</v>
      </c>
      <c r="J56">
        <v>0</v>
      </c>
      <c r="K56">
        <v>0</v>
      </c>
      <c r="M56" s="6">
        <f t="shared" ref="M56:M58" si="14">N56</f>
        <v>0</v>
      </c>
      <c r="N56">
        <v>0</v>
      </c>
      <c r="O56">
        <v>3</v>
      </c>
      <c r="P56">
        <v>0</v>
      </c>
      <c r="Q56">
        <v>0</v>
      </c>
      <c r="R56" t="s">
        <v>40</v>
      </c>
      <c r="S56">
        <v>0</v>
      </c>
      <c r="T56">
        <v>1</v>
      </c>
      <c r="U56" t="s">
        <v>40</v>
      </c>
      <c r="V56">
        <v>0</v>
      </c>
      <c r="W56">
        <v>1</v>
      </c>
      <c r="X56" t="s">
        <v>40</v>
      </c>
      <c r="Y56">
        <v>0</v>
      </c>
      <c r="Z56">
        <v>1</v>
      </c>
      <c r="AA56" t="s">
        <v>40</v>
      </c>
      <c r="AB56">
        <v>0</v>
      </c>
      <c r="AC56">
        <v>1</v>
      </c>
      <c r="AD56" t="s">
        <v>40</v>
      </c>
      <c r="AE56">
        <v>0</v>
      </c>
      <c r="AF56">
        <v>1</v>
      </c>
      <c r="AG56" t="s">
        <v>40</v>
      </c>
      <c r="AH56">
        <v>0</v>
      </c>
      <c r="AI56">
        <v>1</v>
      </c>
      <c r="AJ56">
        <v>0</v>
      </c>
      <c r="AK56" t="s">
        <v>40</v>
      </c>
      <c r="AL56">
        <v>0</v>
      </c>
      <c r="AM56">
        <v>1</v>
      </c>
      <c r="AN56" t="s">
        <v>98</v>
      </c>
      <c r="AO56" s="6">
        <f t="shared" ref="AO56:AP58" si="15">N56</f>
        <v>0</v>
      </c>
      <c r="AP56" s="6">
        <f t="shared" si="15"/>
        <v>3</v>
      </c>
      <c r="AQ56" t="s">
        <v>106</v>
      </c>
      <c r="AR56" s="6" t="str">
        <f>$O$7</f>
        <v>BXX</v>
      </c>
      <c r="AS56" t="s">
        <v>1</v>
      </c>
      <c r="AT56" s="6" t="str">
        <f>$A$5&amp;".AI_DC"</f>
        <v>BXX_MXV1_ZI1.AI_DC</v>
      </c>
      <c r="AU56" t="s">
        <v>1</v>
      </c>
      <c r="AV56" s="6" t="str">
        <f t="shared" ref="AV56:AV58" si="16">C56</f>
        <v>Sample Valve Position Precision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</row>
    <row r="57" spans="1:64" x14ac:dyDescent="0.25">
      <c r="A57" s="3" t="str">
        <f>$A$5&amp;"_"&amp;"E2_DC"</f>
        <v>BXX_MXV1_ZI1_E2_DC</v>
      </c>
      <c r="B57" s="6" t="str">
        <f t="shared" si="13"/>
        <v>BXX_MXV1_ZI1</v>
      </c>
      <c r="C57" s="6" t="str">
        <f>$C$5 &amp; " Eng Value 2 Precision"</f>
        <v>Sample Valve Position Eng Value 2 Precision</v>
      </c>
      <c r="D57" s="4">
        <f t="shared" si="12"/>
        <v>43</v>
      </c>
      <c r="E57" t="s">
        <v>1</v>
      </c>
      <c r="F57" t="s">
        <v>0</v>
      </c>
      <c r="G57" s="2">
        <v>700</v>
      </c>
      <c r="H57" t="s">
        <v>0</v>
      </c>
      <c r="I57" t="s">
        <v>1</v>
      </c>
      <c r="J57">
        <v>0</v>
      </c>
      <c r="K57">
        <v>0</v>
      </c>
      <c r="M57" s="6">
        <f t="shared" si="14"/>
        <v>0</v>
      </c>
      <c r="N57">
        <v>0</v>
      </c>
      <c r="O57">
        <v>3</v>
      </c>
      <c r="P57">
        <v>0</v>
      </c>
      <c r="Q57">
        <v>0</v>
      </c>
      <c r="R57" t="s">
        <v>40</v>
      </c>
      <c r="S57">
        <v>0</v>
      </c>
      <c r="T57">
        <v>1</v>
      </c>
      <c r="U57" t="s">
        <v>40</v>
      </c>
      <c r="V57">
        <v>0</v>
      </c>
      <c r="W57">
        <v>1</v>
      </c>
      <c r="X57" t="s">
        <v>40</v>
      </c>
      <c r="Y57">
        <v>0</v>
      </c>
      <c r="Z57">
        <v>1</v>
      </c>
      <c r="AA57" t="s">
        <v>40</v>
      </c>
      <c r="AB57">
        <v>0</v>
      </c>
      <c r="AC57">
        <v>1</v>
      </c>
      <c r="AD57" t="s">
        <v>40</v>
      </c>
      <c r="AE57">
        <v>0</v>
      </c>
      <c r="AF57">
        <v>1</v>
      </c>
      <c r="AG57" t="s">
        <v>40</v>
      </c>
      <c r="AH57">
        <v>0</v>
      </c>
      <c r="AI57">
        <v>1</v>
      </c>
      <c r="AJ57">
        <v>0</v>
      </c>
      <c r="AK57" t="s">
        <v>40</v>
      </c>
      <c r="AL57">
        <v>0</v>
      </c>
      <c r="AM57">
        <v>1</v>
      </c>
      <c r="AN57" t="s">
        <v>98</v>
      </c>
      <c r="AO57" s="6">
        <f t="shared" si="15"/>
        <v>0</v>
      </c>
      <c r="AP57" s="6">
        <f t="shared" si="15"/>
        <v>3</v>
      </c>
      <c r="AQ57" t="s">
        <v>106</v>
      </c>
      <c r="AR57" s="6" t="str">
        <f>$O$7</f>
        <v>BXX</v>
      </c>
      <c r="AS57" t="s">
        <v>1</v>
      </c>
      <c r="AT57" s="6" t="str">
        <f>$A$5&amp;".E2_DC"</f>
        <v>BXX_MXV1_ZI1.E2_DC</v>
      </c>
      <c r="AU57" t="s">
        <v>1</v>
      </c>
      <c r="AV57" s="6" t="str">
        <f t="shared" si="16"/>
        <v>Sample Valve Position Eng Value 2 Precision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</row>
    <row r="58" spans="1:64" x14ac:dyDescent="0.25">
      <c r="A58" s="3" t="str">
        <f>$A$5&amp;"_"&amp;"E3_DC"</f>
        <v>BXX_MXV1_ZI1_E3_DC</v>
      </c>
      <c r="B58" s="6" t="str">
        <f t="shared" si="13"/>
        <v>BXX_MXV1_ZI1</v>
      </c>
      <c r="C58" s="6" t="str">
        <f>$C$5 &amp; " Eng Value 3 Precision"</f>
        <v>Sample Valve Position Eng Value 3 Precision</v>
      </c>
      <c r="D58" s="4">
        <f t="shared" si="12"/>
        <v>43</v>
      </c>
      <c r="E58" t="s">
        <v>1</v>
      </c>
      <c r="F58" t="s">
        <v>0</v>
      </c>
      <c r="G58" s="2">
        <v>700</v>
      </c>
      <c r="H58" t="s">
        <v>0</v>
      </c>
      <c r="I58" t="s">
        <v>1</v>
      </c>
      <c r="J58">
        <v>0</v>
      </c>
      <c r="K58">
        <v>0</v>
      </c>
      <c r="M58" s="6">
        <f t="shared" si="14"/>
        <v>0</v>
      </c>
      <c r="N58">
        <v>0</v>
      </c>
      <c r="O58">
        <v>3</v>
      </c>
      <c r="P58">
        <v>0</v>
      </c>
      <c r="Q58">
        <v>0</v>
      </c>
      <c r="R58" t="s">
        <v>40</v>
      </c>
      <c r="S58">
        <v>0</v>
      </c>
      <c r="T58">
        <v>1</v>
      </c>
      <c r="U58" t="s">
        <v>40</v>
      </c>
      <c r="V58">
        <v>0</v>
      </c>
      <c r="W58">
        <v>1</v>
      </c>
      <c r="X58" t="s">
        <v>40</v>
      </c>
      <c r="Y58">
        <v>0</v>
      </c>
      <c r="Z58">
        <v>1</v>
      </c>
      <c r="AA58" t="s">
        <v>40</v>
      </c>
      <c r="AB58">
        <v>0</v>
      </c>
      <c r="AC58">
        <v>1</v>
      </c>
      <c r="AD58" t="s">
        <v>40</v>
      </c>
      <c r="AE58">
        <v>0</v>
      </c>
      <c r="AF58">
        <v>1</v>
      </c>
      <c r="AG58" t="s">
        <v>40</v>
      </c>
      <c r="AH58">
        <v>0</v>
      </c>
      <c r="AI58">
        <v>1</v>
      </c>
      <c r="AJ58">
        <v>0</v>
      </c>
      <c r="AK58" t="s">
        <v>40</v>
      </c>
      <c r="AL58">
        <v>0</v>
      </c>
      <c r="AM58">
        <v>1</v>
      </c>
      <c r="AN58" t="s">
        <v>98</v>
      </c>
      <c r="AO58" s="6">
        <f t="shared" si="15"/>
        <v>0</v>
      </c>
      <c r="AP58" s="6">
        <f t="shared" si="15"/>
        <v>3</v>
      </c>
      <c r="AQ58" t="s">
        <v>106</v>
      </c>
      <c r="AR58" s="6" t="str">
        <f>$O$7</f>
        <v>BXX</v>
      </c>
      <c r="AS58" t="s">
        <v>1</v>
      </c>
      <c r="AT58" s="6" t="str">
        <f>$A$5&amp;".E3_DC"</f>
        <v>BXX_MXV1_ZI1.E3_DC</v>
      </c>
      <c r="AU58" t="s">
        <v>1</v>
      </c>
      <c r="AV58" s="6" t="str">
        <f t="shared" si="16"/>
        <v>Sample Valve Position Eng Value 3 Precision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</row>
    <row r="59" spans="1:64" x14ac:dyDescent="0.25">
      <c r="A59" s="1" t="s">
        <v>107</v>
      </c>
      <c r="B59" t="s">
        <v>4</v>
      </c>
      <c r="C59" t="s">
        <v>5</v>
      </c>
      <c r="D59" s="4">
        <f t="shared" si="12"/>
        <v>7</v>
      </c>
      <c r="E59" t="s">
        <v>30</v>
      </c>
      <c r="F59" t="s">
        <v>6</v>
      </c>
      <c r="G59" t="s">
        <v>7</v>
      </c>
      <c r="H59" t="s">
        <v>31</v>
      </c>
      <c r="I59" t="s">
        <v>66</v>
      </c>
      <c r="J59" t="s">
        <v>67</v>
      </c>
      <c r="K59" t="s">
        <v>68</v>
      </c>
      <c r="L59" t="s">
        <v>69</v>
      </c>
      <c r="M59" t="s">
        <v>70</v>
      </c>
      <c r="N59" t="s">
        <v>101</v>
      </c>
      <c r="O59" t="s">
        <v>102</v>
      </c>
      <c r="P59" t="s">
        <v>73</v>
      </c>
      <c r="Q59" t="s">
        <v>74</v>
      </c>
      <c r="R59" t="s">
        <v>75</v>
      </c>
      <c r="S59" t="s">
        <v>76</v>
      </c>
      <c r="T59" t="s">
        <v>77</v>
      </c>
      <c r="U59" t="s">
        <v>78</v>
      </c>
      <c r="V59" t="s">
        <v>79</v>
      </c>
      <c r="W59" t="s">
        <v>80</v>
      </c>
      <c r="X59" t="s">
        <v>81</v>
      </c>
      <c r="Y59" t="s">
        <v>82</v>
      </c>
      <c r="Z59" t="s">
        <v>83</v>
      </c>
      <c r="AA59" t="s">
        <v>84</v>
      </c>
      <c r="AB59" t="s">
        <v>85</v>
      </c>
      <c r="AC59" t="s">
        <v>86</v>
      </c>
      <c r="AD59" t="s">
        <v>87</v>
      </c>
      <c r="AE59" t="s">
        <v>88</v>
      </c>
      <c r="AF59" t="s">
        <v>89</v>
      </c>
      <c r="AG59" t="s">
        <v>90</v>
      </c>
      <c r="AH59" t="s">
        <v>91</v>
      </c>
      <c r="AI59" t="s">
        <v>92</v>
      </c>
      <c r="AJ59" t="s">
        <v>93</v>
      </c>
      <c r="AK59" t="s">
        <v>94</v>
      </c>
      <c r="AL59" t="s">
        <v>95</v>
      </c>
      <c r="AM59" t="s">
        <v>96</v>
      </c>
      <c r="AN59" t="s">
        <v>97</v>
      </c>
      <c r="AO59" t="s">
        <v>103</v>
      </c>
      <c r="AP59" t="s">
        <v>104</v>
      </c>
      <c r="AQ59" t="s">
        <v>105</v>
      </c>
      <c r="AR59" t="s">
        <v>45</v>
      </c>
      <c r="AS59" t="s">
        <v>46</v>
      </c>
      <c r="AT59" t="s">
        <v>47</v>
      </c>
      <c r="AU59" t="s">
        <v>48</v>
      </c>
      <c r="AV59" t="s">
        <v>37</v>
      </c>
      <c r="AW59" t="s">
        <v>38</v>
      </c>
      <c r="AX59" t="s">
        <v>8</v>
      </c>
      <c r="AY59" t="s">
        <v>9</v>
      </c>
      <c r="AZ59" t="s">
        <v>10</v>
      </c>
      <c r="BA59" t="s">
        <v>11</v>
      </c>
      <c r="BB59" t="s">
        <v>12</v>
      </c>
      <c r="BC59" t="s">
        <v>13</v>
      </c>
      <c r="BD59" t="s">
        <v>14</v>
      </c>
      <c r="BE59" t="s">
        <v>16</v>
      </c>
      <c r="BF59" t="s">
        <v>17</v>
      </c>
      <c r="BG59" t="s">
        <v>18</v>
      </c>
      <c r="BH59" t="s">
        <v>19</v>
      </c>
      <c r="BI59" t="s">
        <v>20</v>
      </c>
      <c r="BJ59" t="s">
        <v>21</v>
      </c>
      <c r="BK59" t="s">
        <v>22</v>
      </c>
      <c r="BL59" t="s">
        <v>39</v>
      </c>
    </row>
    <row r="60" spans="1:64" x14ac:dyDescent="0.25">
      <c r="A60" s="3" t="str">
        <f>$A$3&amp;"_"&amp;"CV_CT"</f>
        <v>BXX_DEV1_FV1_CV_CT</v>
      </c>
      <c r="B60" s="6" t="str">
        <f>$A$3</f>
        <v>BXX_DEV1_FV1</v>
      </c>
      <c r="C60" s="6" t="str">
        <f>$C$3&amp;" Manual Position Setpoint"</f>
        <v>Sample Valve Manual Position Setpoint</v>
      </c>
      <c r="D60" s="4">
        <f t="shared" si="12"/>
        <v>37</v>
      </c>
      <c r="E60" t="s">
        <v>1</v>
      </c>
      <c r="F60" t="s">
        <v>0</v>
      </c>
      <c r="G60" s="2">
        <v>900</v>
      </c>
      <c r="H60" t="s">
        <v>0</v>
      </c>
      <c r="I60" t="s">
        <v>1</v>
      </c>
      <c r="J60">
        <v>0</v>
      </c>
      <c r="K60">
        <v>0</v>
      </c>
      <c r="L60" s="2" t="s">
        <v>99</v>
      </c>
      <c r="M60" s="6">
        <f>N60</f>
        <v>0</v>
      </c>
      <c r="N60" s="2">
        <v>0</v>
      </c>
      <c r="O60" s="2">
        <v>100</v>
      </c>
      <c r="P60">
        <v>0</v>
      </c>
      <c r="Q60">
        <v>0</v>
      </c>
      <c r="R60" t="s">
        <v>40</v>
      </c>
      <c r="S60">
        <v>0</v>
      </c>
      <c r="T60">
        <v>1</v>
      </c>
      <c r="U60" t="s">
        <v>40</v>
      </c>
      <c r="V60">
        <v>0</v>
      </c>
      <c r="W60">
        <v>1</v>
      </c>
      <c r="X60" t="s">
        <v>40</v>
      </c>
      <c r="Y60">
        <v>0</v>
      </c>
      <c r="Z60">
        <v>1</v>
      </c>
      <c r="AA60" t="s">
        <v>40</v>
      </c>
      <c r="AB60">
        <v>0</v>
      </c>
      <c r="AC60">
        <v>1</v>
      </c>
      <c r="AD60" t="s">
        <v>40</v>
      </c>
      <c r="AE60">
        <v>0</v>
      </c>
      <c r="AF60">
        <v>1</v>
      </c>
      <c r="AG60" t="s">
        <v>40</v>
      </c>
      <c r="AH60">
        <v>0</v>
      </c>
      <c r="AI60">
        <v>1</v>
      </c>
      <c r="AJ60">
        <v>0</v>
      </c>
      <c r="AK60" t="s">
        <v>40</v>
      </c>
      <c r="AL60">
        <v>0</v>
      </c>
      <c r="AM60">
        <v>1</v>
      </c>
      <c r="AN60" t="s">
        <v>98</v>
      </c>
      <c r="AO60" s="6">
        <f t="shared" ref="AO60:AP73" si="17">N60</f>
        <v>0</v>
      </c>
      <c r="AP60" s="6">
        <f t="shared" si="17"/>
        <v>100</v>
      </c>
      <c r="AQ60" t="s">
        <v>106</v>
      </c>
      <c r="AR60" s="6" t="str">
        <f t="shared" ref="AR60:AR73" si="18">$O$7</f>
        <v>BXX</v>
      </c>
      <c r="AS60" t="s">
        <v>1</v>
      </c>
      <c r="AT60" s="6" t="str">
        <f>$A$3&amp;".CV_CT"</f>
        <v>BXX_DEV1_FV1.CV_CT</v>
      </c>
      <c r="AU60" t="s">
        <v>1</v>
      </c>
      <c r="AV60" s="6" t="str">
        <f>C60</f>
        <v>Sample Valve Manual Position Setpoint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</row>
    <row r="61" spans="1:64" x14ac:dyDescent="0.25">
      <c r="A61" s="3" t="str">
        <f>$A$3&amp;"_"&amp;"AO_CV"</f>
        <v>BXX_DEV1_FV1_AO_CV</v>
      </c>
      <c r="B61" s="6" t="str">
        <f>$A$3</f>
        <v>BXX_DEV1_FV1</v>
      </c>
      <c r="C61" s="6" t="str">
        <f>$C$3&amp;" Position Command"</f>
        <v>Sample Valve Position Command</v>
      </c>
      <c r="D61" s="4">
        <f t="shared" si="12"/>
        <v>29</v>
      </c>
      <c r="E61" t="s">
        <v>1</v>
      </c>
      <c r="F61" t="s">
        <v>1</v>
      </c>
      <c r="G61" s="2">
        <v>900</v>
      </c>
      <c r="H61" t="s">
        <v>0</v>
      </c>
      <c r="I61" t="s">
        <v>1</v>
      </c>
      <c r="J61">
        <v>0</v>
      </c>
      <c r="K61">
        <v>0</v>
      </c>
      <c r="L61" s="6" t="str">
        <f>L60</f>
        <v>%</v>
      </c>
      <c r="M61" s="6">
        <f>N61</f>
        <v>0</v>
      </c>
      <c r="N61" s="6">
        <f>N60</f>
        <v>0</v>
      </c>
      <c r="O61" s="6">
        <f>O60</f>
        <v>100</v>
      </c>
      <c r="P61" s="6">
        <f>(O61-N61)*0.01</f>
        <v>1</v>
      </c>
      <c r="Q61">
        <v>0</v>
      </c>
      <c r="R61" t="s">
        <v>40</v>
      </c>
      <c r="S61">
        <v>0</v>
      </c>
      <c r="T61">
        <v>1</v>
      </c>
      <c r="U61" t="s">
        <v>40</v>
      </c>
      <c r="V61">
        <v>0</v>
      </c>
      <c r="W61">
        <v>1</v>
      </c>
      <c r="X61" t="s">
        <v>40</v>
      </c>
      <c r="Y61">
        <v>0</v>
      </c>
      <c r="Z61">
        <v>1</v>
      </c>
      <c r="AA61" t="s">
        <v>40</v>
      </c>
      <c r="AB61">
        <v>0</v>
      </c>
      <c r="AC61">
        <v>1</v>
      </c>
      <c r="AD61" t="s">
        <v>40</v>
      </c>
      <c r="AE61">
        <v>0</v>
      </c>
      <c r="AF61">
        <v>1</v>
      </c>
      <c r="AG61" t="s">
        <v>40</v>
      </c>
      <c r="AH61">
        <v>0</v>
      </c>
      <c r="AI61">
        <v>1</v>
      </c>
      <c r="AJ61">
        <v>0</v>
      </c>
      <c r="AK61" t="s">
        <v>40</v>
      </c>
      <c r="AL61">
        <v>0</v>
      </c>
      <c r="AM61">
        <v>1</v>
      </c>
      <c r="AN61" t="s">
        <v>98</v>
      </c>
      <c r="AO61" s="6">
        <f t="shared" si="17"/>
        <v>0</v>
      </c>
      <c r="AP61" s="6">
        <f t="shared" si="17"/>
        <v>100</v>
      </c>
      <c r="AQ61" t="s">
        <v>106</v>
      </c>
      <c r="AR61" s="6" t="str">
        <f t="shared" si="18"/>
        <v>BXX</v>
      </c>
      <c r="AS61" t="s">
        <v>1</v>
      </c>
      <c r="AT61" s="6" t="str">
        <f>$A$3&amp;".AO_CT"</f>
        <v>BXX_DEV1_FV1.AO_CT</v>
      </c>
      <c r="AU61" t="s">
        <v>1</v>
      </c>
      <c r="AV61" s="6" t="str">
        <f>C61</f>
        <v>Sample Valve Position Command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</row>
    <row r="62" spans="1:64" x14ac:dyDescent="0.25">
      <c r="A62" s="3" t="str">
        <f>$A$5&amp;"_"&amp;"AI_CV"</f>
        <v>BXX_MXV1_ZI1_AI_CV</v>
      </c>
      <c r="B62" s="6" t="str">
        <f t="shared" ref="B62:B73" si="19">$A$5</f>
        <v>BXX_MXV1_ZI1</v>
      </c>
      <c r="C62" s="6" t="str">
        <f>$C$5 &amp; " Current Value"</f>
        <v>Sample Valve Position Current Value</v>
      </c>
      <c r="D62" s="4">
        <f t="shared" ref="D62:D124" si="20">LEN(C62)</f>
        <v>35</v>
      </c>
      <c r="E62" t="s">
        <v>0</v>
      </c>
      <c r="F62" t="s">
        <v>1</v>
      </c>
      <c r="G62">
        <v>0</v>
      </c>
      <c r="H62" t="s">
        <v>0</v>
      </c>
      <c r="I62" t="s">
        <v>1</v>
      </c>
      <c r="J62">
        <v>0</v>
      </c>
      <c r="K62">
        <v>0</v>
      </c>
      <c r="L62" s="2" t="s">
        <v>99</v>
      </c>
      <c r="M62" s="6">
        <f t="shared" ref="M62:M73" si="21">N62</f>
        <v>0</v>
      </c>
      <c r="N62" s="2">
        <v>0</v>
      </c>
      <c r="O62" s="2">
        <v>100</v>
      </c>
      <c r="P62" s="6">
        <f t="shared" ref="P62:P64" si="22">(O62-N62)*0.01</f>
        <v>1</v>
      </c>
      <c r="Q62">
        <v>0</v>
      </c>
      <c r="R62" t="s">
        <v>40</v>
      </c>
      <c r="S62">
        <v>0</v>
      </c>
      <c r="T62">
        <v>1</v>
      </c>
      <c r="U62" t="s">
        <v>40</v>
      </c>
      <c r="V62">
        <v>0</v>
      </c>
      <c r="W62">
        <v>1</v>
      </c>
      <c r="X62" t="s">
        <v>40</v>
      </c>
      <c r="Y62">
        <v>0</v>
      </c>
      <c r="Z62">
        <v>1</v>
      </c>
      <c r="AA62" t="s">
        <v>40</v>
      </c>
      <c r="AB62">
        <v>0</v>
      </c>
      <c r="AC62">
        <v>1</v>
      </c>
      <c r="AD62" t="s">
        <v>40</v>
      </c>
      <c r="AE62">
        <v>0</v>
      </c>
      <c r="AF62">
        <v>1</v>
      </c>
      <c r="AG62" t="s">
        <v>40</v>
      </c>
      <c r="AH62">
        <v>0</v>
      </c>
      <c r="AI62">
        <v>1</v>
      </c>
      <c r="AJ62">
        <v>0</v>
      </c>
      <c r="AK62" t="s">
        <v>40</v>
      </c>
      <c r="AL62">
        <v>0</v>
      </c>
      <c r="AM62">
        <v>1</v>
      </c>
      <c r="AN62" t="s">
        <v>98</v>
      </c>
      <c r="AO62" s="6">
        <f t="shared" si="17"/>
        <v>0</v>
      </c>
      <c r="AP62" s="6">
        <f t="shared" si="17"/>
        <v>100</v>
      </c>
      <c r="AQ62" t="s">
        <v>106</v>
      </c>
      <c r="AR62" s="6" t="str">
        <f t="shared" si="18"/>
        <v>BXX</v>
      </c>
      <c r="AS62" t="s">
        <v>1</v>
      </c>
      <c r="AT62" s="6" t="str">
        <f>$A$5&amp;".AI_CV"</f>
        <v>BXX_MXV1_ZI1.AI_CV</v>
      </c>
      <c r="AU62" t="s">
        <v>1</v>
      </c>
      <c r="AV62" s="6" t="str">
        <f t="shared" ref="AV62:AV73" si="23">C62</f>
        <v>Sample Valve Position Current Value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</row>
    <row r="63" spans="1:64" s="1" customFormat="1" x14ac:dyDescent="0.25">
      <c r="A63" s="3" t="str">
        <f>$A$5&amp;"_"&amp;"AI_ND"</f>
        <v>BXX_MXV1_ZI1_AI_ND</v>
      </c>
      <c r="B63" s="6" t="str">
        <f t="shared" si="19"/>
        <v>BXX_MXV1_ZI1</v>
      </c>
      <c r="C63" s="6" t="str">
        <f>$C$5 &amp; " Min Value Today"</f>
        <v>Sample Valve Position Min Value Today</v>
      </c>
      <c r="D63" s="4">
        <f t="shared" si="20"/>
        <v>37</v>
      </c>
      <c r="E63" s="1" t="s">
        <v>1</v>
      </c>
      <c r="F63" s="1" t="s">
        <v>1</v>
      </c>
      <c r="G63" s="1">
        <v>0</v>
      </c>
      <c r="H63" s="1" t="s">
        <v>0</v>
      </c>
      <c r="I63" s="1" t="s">
        <v>1</v>
      </c>
      <c r="J63" s="1">
        <v>0</v>
      </c>
      <c r="K63" s="1">
        <v>0</v>
      </c>
      <c r="L63" s="6" t="str">
        <f>$L$62</f>
        <v>%</v>
      </c>
      <c r="M63" s="6">
        <f t="shared" si="21"/>
        <v>0</v>
      </c>
      <c r="N63" s="6">
        <f>$N$62</f>
        <v>0</v>
      </c>
      <c r="O63" s="6">
        <f>$O$62</f>
        <v>100</v>
      </c>
      <c r="P63" s="6">
        <f t="shared" si="22"/>
        <v>1</v>
      </c>
      <c r="Q63" s="1">
        <v>0</v>
      </c>
      <c r="R63" s="1" t="s">
        <v>40</v>
      </c>
      <c r="S63" s="1">
        <v>0</v>
      </c>
      <c r="T63" s="1">
        <v>1</v>
      </c>
      <c r="U63" s="1" t="s">
        <v>40</v>
      </c>
      <c r="V63" s="1">
        <v>0</v>
      </c>
      <c r="W63" s="1">
        <v>1</v>
      </c>
      <c r="X63" s="1" t="s">
        <v>40</v>
      </c>
      <c r="Y63" s="1">
        <v>0</v>
      </c>
      <c r="Z63" s="1">
        <v>1</v>
      </c>
      <c r="AA63" s="1" t="s">
        <v>40</v>
      </c>
      <c r="AB63" s="1">
        <v>0</v>
      </c>
      <c r="AC63" s="1">
        <v>1</v>
      </c>
      <c r="AD63" s="1" t="s">
        <v>40</v>
      </c>
      <c r="AE63" s="1">
        <v>0</v>
      </c>
      <c r="AF63" s="1">
        <v>1</v>
      </c>
      <c r="AG63" s="1" t="s">
        <v>40</v>
      </c>
      <c r="AH63" s="1">
        <v>0</v>
      </c>
      <c r="AI63" s="1">
        <v>1</v>
      </c>
      <c r="AJ63" s="1">
        <v>0</v>
      </c>
      <c r="AK63" s="1" t="s">
        <v>40</v>
      </c>
      <c r="AL63" s="1">
        <v>0</v>
      </c>
      <c r="AM63" s="1">
        <v>1</v>
      </c>
      <c r="AN63" s="1" t="s">
        <v>98</v>
      </c>
      <c r="AO63" s="6">
        <f t="shared" si="17"/>
        <v>0</v>
      </c>
      <c r="AP63" s="6">
        <f t="shared" si="17"/>
        <v>100</v>
      </c>
      <c r="AQ63" s="1" t="s">
        <v>106</v>
      </c>
      <c r="AR63" s="6" t="str">
        <f t="shared" si="18"/>
        <v>BXX</v>
      </c>
      <c r="AS63" s="1" t="s">
        <v>1</v>
      </c>
      <c r="AT63" s="6" t="str">
        <f>$A$5&amp;".AI_ND"</f>
        <v>BXX_MXV1_ZI1.AI_ND</v>
      </c>
      <c r="AU63" s="1" t="s">
        <v>1</v>
      </c>
      <c r="AV63" s="6" t="str">
        <f t="shared" si="23"/>
        <v>Sample Valve Position Min Value Today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</row>
    <row r="64" spans="1:64" s="1" customFormat="1" x14ac:dyDescent="0.25">
      <c r="A64" s="3" t="str">
        <f>$A$5&amp;"_"&amp;"AI_NP"</f>
        <v>BXX_MXV1_ZI1_AI_NP</v>
      </c>
      <c r="B64" s="6" t="str">
        <f t="shared" si="19"/>
        <v>BXX_MXV1_ZI1</v>
      </c>
      <c r="C64" s="6" t="str">
        <f>$C$5 &amp; " Max Value Today"</f>
        <v>Sample Valve Position Max Value Today</v>
      </c>
      <c r="D64" s="4">
        <f t="shared" si="20"/>
        <v>37</v>
      </c>
      <c r="E64" s="1" t="s">
        <v>1</v>
      </c>
      <c r="F64" s="1" t="s">
        <v>1</v>
      </c>
      <c r="G64" s="1">
        <v>0</v>
      </c>
      <c r="H64" s="1" t="s">
        <v>0</v>
      </c>
      <c r="I64" s="1" t="s">
        <v>1</v>
      </c>
      <c r="J64" s="1">
        <v>0</v>
      </c>
      <c r="K64" s="1">
        <v>0</v>
      </c>
      <c r="L64" s="6" t="str">
        <f t="shared" ref="L64:L69" si="24">$L$62</f>
        <v>%</v>
      </c>
      <c r="M64" s="6">
        <f t="shared" si="21"/>
        <v>0</v>
      </c>
      <c r="N64" s="6">
        <f t="shared" ref="N64:N71" si="25">$N$62</f>
        <v>0</v>
      </c>
      <c r="O64" s="6">
        <f t="shared" ref="O64:O71" si="26">$O$62</f>
        <v>100</v>
      </c>
      <c r="P64" s="6">
        <f t="shared" si="22"/>
        <v>1</v>
      </c>
      <c r="Q64" s="1">
        <v>0</v>
      </c>
      <c r="R64" s="1" t="s">
        <v>40</v>
      </c>
      <c r="S64" s="1">
        <v>0</v>
      </c>
      <c r="T64" s="1">
        <v>1</v>
      </c>
      <c r="U64" s="1" t="s">
        <v>40</v>
      </c>
      <c r="V64" s="1">
        <v>0</v>
      </c>
      <c r="W64" s="1">
        <v>1</v>
      </c>
      <c r="X64" s="1" t="s">
        <v>40</v>
      </c>
      <c r="Y64" s="1">
        <v>0</v>
      </c>
      <c r="Z64" s="1">
        <v>1</v>
      </c>
      <c r="AA64" s="1" t="s">
        <v>40</v>
      </c>
      <c r="AB64" s="1">
        <v>0</v>
      </c>
      <c r="AC64" s="1">
        <v>1</v>
      </c>
      <c r="AD64" s="1" t="s">
        <v>40</v>
      </c>
      <c r="AE64" s="1">
        <v>0</v>
      </c>
      <c r="AF64" s="1">
        <v>1</v>
      </c>
      <c r="AG64" s="1" t="s">
        <v>40</v>
      </c>
      <c r="AH64" s="1">
        <v>0</v>
      </c>
      <c r="AI64" s="1">
        <v>1</v>
      </c>
      <c r="AJ64" s="1">
        <v>0</v>
      </c>
      <c r="AK64" s="1" t="s">
        <v>40</v>
      </c>
      <c r="AL64" s="1">
        <v>0</v>
      </c>
      <c r="AM64" s="1">
        <v>1</v>
      </c>
      <c r="AN64" s="1" t="s">
        <v>98</v>
      </c>
      <c r="AO64" s="6">
        <f t="shared" si="17"/>
        <v>0</v>
      </c>
      <c r="AP64" s="6">
        <f t="shared" si="17"/>
        <v>100</v>
      </c>
      <c r="AQ64" s="1" t="s">
        <v>106</v>
      </c>
      <c r="AR64" s="6" t="str">
        <f t="shared" si="18"/>
        <v>BXX</v>
      </c>
      <c r="AS64" s="1" t="s">
        <v>1</v>
      </c>
      <c r="AT64" s="6" t="str">
        <f>$A$5&amp;".AI_NP"</f>
        <v>BXX_MXV1_ZI1.AI_NP</v>
      </c>
      <c r="AU64" s="1" t="s">
        <v>1</v>
      </c>
      <c r="AV64" s="6" t="str">
        <f t="shared" si="23"/>
        <v>Sample Valve Position Max Value Today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</row>
    <row r="65" spans="1:56" s="1" customFormat="1" x14ac:dyDescent="0.25">
      <c r="A65" s="3" t="str">
        <f>$A$5&amp;"_"&amp;"AI_XD"</f>
        <v>BXX_MXV1_ZI1_AI_XD</v>
      </c>
      <c r="B65" s="6" t="str">
        <f t="shared" si="19"/>
        <v>BXX_MXV1_ZI1</v>
      </c>
      <c r="C65" s="6" t="str">
        <f>$C$5 &amp; " Min Value Yesterday"</f>
        <v>Sample Valve Position Min Value Yesterday</v>
      </c>
      <c r="D65" s="4">
        <f t="shared" si="20"/>
        <v>41</v>
      </c>
      <c r="E65" s="1" t="s">
        <v>1</v>
      </c>
      <c r="F65" s="1" t="s">
        <v>1</v>
      </c>
      <c r="G65" s="1">
        <v>0</v>
      </c>
      <c r="H65" s="1" t="s">
        <v>0</v>
      </c>
      <c r="I65" s="1" t="s">
        <v>1</v>
      </c>
      <c r="J65" s="1">
        <v>0</v>
      </c>
      <c r="K65" s="1">
        <v>0</v>
      </c>
      <c r="L65" s="6" t="str">
        <f t="shared" si="24"/>
        <v>%</v>
      </c>
      <c r="M65" s="6">
        <f t="shared" si="21"/>
        <v>0</v>
      </c>
      <c r="N65" s="6">
        <f t="shared" si="25"/>
        <v>0</v>
      </c>
      <c r="O65" s="6">
        <f t="shared" si="26"/>
        <v>100</v>
      </c>
      <c r="P65" s="1">
        <v>0</v>
      </c>
      <c r="Q65" s="1">
        <v>0</v>
      </c>
      <c r="R65" s="1" t="s">
        <v>40</v>
      </c>
      <c r="S65" s="1">
        <v>0</v>
      </c>
      <c r="T65" s="1">
        <v>1</v>
      </c>
      <c r="U65" s="1" t="s">
        <v>40</v>
      </c>
      <c r="V65" s="1">
        <v>0</v>
      </c>
      <c r="W65" s="1">
        <v>1</v>
      </c>
      <c r="X65" s="1" t="s">
        <v>40</v>
      </c>
      <c r="Y65" s="1">
        <v>0</v>
      </c>
      <c r="Z65" s="1">
        <v>1</v>
      </c>
      <c r="AA65" s="1" t="s">
        <v>40</v>
      </c>
      <c r="AB65" s="1">
        <v>0</v>
      </c>
      <c r="AC65" s="1">
        <v>1</v>
      </c>
      <c r="AD65" s="1" t="s">
        <v>40</v>
      </c>
      <c r="AE65" s="1">
        <v>0</v>
      </c>
      <c r="AF65" s="1">
        <v>1</v>
      </c>
      <c r="AG65" s="1" t="s">
        <v>40</v>
      </c>
      <c r="AH65" s="1">
        <v>0</v>
      </c>
      <c r="AI65" s="1">
        <v>1</v>
      </c>
      <c r="AJ65" s="1">
        <v>0</v>
      </c>
      <c r="AK65" s="1" t="s">
        <v>40</v>
      </c>
      <c r="AL65" s="1">
        <v>0</v>
      </c>
      <c r="AM65" s="1">
        <v>1</v>
      </c>
      <c r="AN65" s="1" t="s">
        <v>98</v>
      </c>
      <c r="AO65" s="6">
        <f t="shared" si="17"/>
        <v>0</v>
      </c>
      <c r="AP65" s="6">
        <f t="shared" si="17"/>
        <v>100</v>
      </c>
      <c r="AQ65" s="1" t="s">
        <v>106</v>
      </c>
      <c r="AR65" s="6" t="str">
        <f t="shared" si="18"/>
        <v>BXX</v>
      </c>
      <c r="AS65" s="1" t="s">
        <v>1</v>
      </c>
      <c r="AT65" s="6" t="str">
        <f>$A$5&amp;".AI_XD"</f>
        <v>BXX_MXV1_ZI1.AI_XD</v>
      </c>
      <c r="AU65" s="1" t="s">
        <v>1</v>
      </c>
      <c r="AV65" s="6" t="str">
        <f t="shared" si="23"/>
        <v>Sample Valve Position Min Value Yesterday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</row>
    <row r="66" spans="1:56" s="1" customFormat="1" x14ac:dyDescent="0.25">
      <c r="A66" s="3" t="str">
        <f>$A$5&amp;"_"&amp;"AI_XP"</f>
        <v>BXX_MXV1_ZI1_AI_XP</v>
      </c>
      <c r="B66" s="6" t="str">
        <f t="shared" si="19"/>
        <v>BXX_MXV1_ZI1</v>
      </c>
      <c r="C66" s="6" t="str">
        <f>$C$5 &amp; " Max Value Yesterday"</f>
        <v>Sample Valve Position Max Value Yesterday</v>
      </c>
      <c r="D66" s="4">
        <f t="shared" si="20"/>
        <v>41</v>
      </c>
      <c r="E66" s="1" t="s">
        <v>1</v>
      </c>
      <c r="F66" s="1" t="s">
        <v>1</v>
      </c>
      <c r="G66" s="1">
        <v>0</v>
      </c>
      <c r="H66" s="1" t="s">
        <v>0</v>
      </c>
      <c r="I66" s="1" t="s">
        <v>1</v>
      </c>
      <c r="J66" s="1">
        <v>0</v>
      </c>
      <c r="K66" s="1">
        <v>0</v>
      </c>
      <c r="L66" s="6" t="str">
        <f t="shared" si="24"/>
        <v>%</v>
      </c>
      <c r="M66" s="6">
        <f t="shared" si="21"/>
        <v>0</v>
      </c>
      <c r="N66" s="6">
        <f t="shared" si="25"/>
        <v>0</v>
      </c>
      <c r="O66" s="6">
        <f t="shared" si="26"/>
        <v>100</v>
      </c>
      <c r="P66" s="1">
        <v>0</v>
      </c>
      <c r="Q66" s="1">
        <v>0</v>
      </c>
      <c r="R66" s="1" t="s">
        <v>40</v>
      </c>
      <c r="S66" s="1">
        <v>0</v>
      </c>
      <c r="T66" s="1">
        <v>1</v>
      </c>
      <c r="U66" s="1" t="s">
        <v>40</v>
      </c>
      <c r="V66" s="1">
        <v>0</v>
      </c>
      <c r="W66" s="1">
        <v>1</v>
      </c>
      <c r="X66" s="1" t="s">
        <v>40</v>
      </c>
      <c r="Y66" s="1">
        <v>0</v>
      </c>
      <c r="Z66" s="1">
        <v>1</v>
      </c>
      <c r="AA66" s="1" t="s">
        <v>40</v>
      </c>
      <c r="AB66" s="1">
        <v>0</v>
      </c>
      <c r="AC66" s="1">
        <v>1</v>
      </c>
      <c r="AD66" s="1" t="s">
        <v>40</v>
      </c>
      <c r="AE66" s="1">
        <v>0</v>
      </c>
      <c r="AF66" s="1">
        <v>1</v>
      </c>
      <c r="AG66" s="1" t="s">
        <v>40</v>
      </c>
      <c r="AH66" s="1">
        <v>0</v>
      </c>
      <c r="AI66" s="1">
        <v>1</v>
      </c>
      <c r="AJ66" s="1">
        <v>0</v>
      </c>
      <c r="AK66" s="1" t="s">
        <v>40</v>
      </c>
      <c r="AL66" s="1">
        <v>0</v>
      </c>
      <c r="AM66" s="1">
        <v>1</v>
      </c>
      <c r="AN66" s="1" t="s">
        <v>98</v>
      </c>
      <c r="AO66" s="6">
        <f t="shared" si="17"/>
        <v>0</v>
      </c>
      <c r="AP66" s="6">
        <f t="shared" si="17"/>
        <v>100</v>
      </c>
      <c r="AQ66" s="1" t="s">
        <v>106</v>
      </c>
      <c r="AR66" s="6" t="str">
        <f t="shared" si="18"/>
        <v>BXX</v>
      </c>
      <c r="AS66" s="1" t="s">
        <v>1</v>
      </c>
      <c r="AT66" s="6" t="str">
        <f>$A$5&amp;".AI_XP"</f>
        <v>BXX_MXV1_ZI1.AI_XP</v>
      </c>
      <c r="AU66" s="1" t="s">
        <v>1</v>
      </c>
      <c r="AV66" s="6" t="str">
        <f t="shared" si="23"/>
        <v>Sample Valve Position Max Value Yesterday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</row>
    <row r="67" spans="1:56" x14ac:dyDescent="0.25">
      <c r="A67" s="3" t="str">
        <f>$A$5&amp;"_"&amp;"AO_XM"</f>
        <v>BXX_MXV1_ZI1_AO_XM</v>
      </c>
      <c r="B67" s="6" t="str">
        <f t="shared" si="19"/>
        <v>BXX_MXV1_ZI1</v>
      </c>
      <c r="C67" s="6" t="str">
        <f>$C$5 &amp; " Span Setpoint"</f>
        <v>Sample Valve Position Span Setpoint</v>
      </c>
      <c r="D67" s="4">
        <f t="shared" si="20"/>
        <v>35</v>
      </c>
      <c r="E67" t="s">
        <v>1</v>
      </c>
      <c r="F67" t="s">
        <v>1</v>
      </c>
      <c r="G67">
        <v>0</v>
      </c>
      <c r="H67" t="s">
        <v>0</v>
      </c>
      <c r="I67" t="s">
        <v>1</v>
      </c>
      <c r="J67">
        <v>0</v>
      </c>
      <c r="K67">
        <v>0</v>
      </c>
      <c r="L67" s="6" t="str">
        <f t="shared" si="24"/>
        <v>%</v>
      </c>
      <c r="M67" s="6">
        <f t="shared" si="21"/>
        <v>0</v>
      </c>
      <c r="N67" s="6">
        <f t="shared" si="25"/>
        <v>0</v>
      </c>
      <c r="O67" s="6">
        <f t="shared" si="26"/>
        <v>100</v>
      </c>
      <c r="P67">
        <v>0</v>
      </c>
      <c r="Q67">
        <v>0</v>
      </c>
      <c r="R67" t="s">
        <v>40</v>
      </c>
      <c r="S67">
        <v>0</v>
      </c>
      <c r="T67">
        <v>1</v>
      </c>
      <c r="U67" t="s">
        <v>40</v>
      </c>
      <c r="V67">
        <v>0</v>
      </c>
      <c r="W67">
        <v>1</v>
      </c>
      <c r="X67" t="s">
        <v>40</v>
      </c>
      <c r="Y67">
        <v>0</v>
      </c>
      <c r="Z67">
        <v>1</v>
      </c>
      <c r="AA67" t="s">
        <v>40</v>
      </c>
      <c r="AB67">
        <v>0</v>
      </c>
      <c r="AC67">
        <v>1</v>
      </c>
      <c r="AD67" t="s">
        <v>40</v>
      </c>
      <c r="AE67">
        <v>0</v>
      </c>
      <c r="AF67">
        <v>1</v>
      </c>
      <c r="AG67" t="s">
        <v>40</v>
      </c>
      <c r="AH67">
        <v>0</v>
      </c>
      <c r="AI67">
        <v>1</v>
      </c>
      <c r="AJ67">
        <v>0</v>
      </c>
      <c r="AK67" t="s">
        <v>40</v>
      </c>
      <c r="AL67">
        <v>0</v>
      </c>
      <c r="AM67">
        <v>1</v>
      </c>
      <c r="AN67" t="s">
        <v>98</v>
      </c>
      <c r="AO67" s="6">
        <f t="shared" si="17"/>
        <v>0</v>
      </c>
      <c r="AP67" s="6">
        <f t="shared" si="17"/>
        <v>100</v>
      </c>
      <c r="AQ67" t="s">
        <v>106</v>
      </c>
      <c r="AR67" s="6" t="str">
        <f t="shared" si="18"/>
        <v>BXX</v>
      </c>
      <c r="AS67" t="s">
        <v>1</v>
      </c>
      <c r="AT67" s="6" t="str">
        <f>$A$5&amp;".AO_XM"</f>
        <v>BXX_MXV1_ZI1.AO_XM</v>
      </c>
      <c r="AU67" t="s">
        <v>1</v>
      </c>
      <c r="AV67" s="6" t="str">
        <f t="shared" si="23"/>
        <v>Sample Valve Position Span Setpoint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</row>
    <row r="68" spans="1:56" x14ac:dyDescent="0.25">
      <c r="A68" s="3" t="str">
        <f>$A$5&amp;"_"&amp;"AO_EM"</f>
        <v>BXX_MXV1_ZI1_AO_EM</v>
      </c>
      <c r="B68" s="6" t="str">
        <f t="shared" si="19"/>
        <v>BXX_MXV1_ZI1</v>
      </c>
      <c r="C68" s="6" t="str">
        <f>$C$5 &amp; " Zero Setpoint"</f>
        <v>Sample Valve Position Zero Setpoint</v>
      </c>
      <c r="D68" s="4">
        <f t="shared" si="20"/>
        <v>35</v>
      </c>
      <c r="E68" t="s">
        <v>1</v>
      </c>
      <c r="F68" t="s">
        <v>1</v>
      </c>
      <c r="G68">
        <v>0</v>
      </c>
      <c r="H68" t="s">
        <v>0</v>
      </c>
      <c r="I68" t="s">
        <v>1</v>
      </c>
      <c r="J68">
        <v>0</v>
      </c>
      <c r="K68">
        <v>0</v>
      </c>
      <c r="L68" s="6" t="str">
        <f t="shared" si="24"/>
        <v>%</v>
      </c>
      <c r="M68" s="6">
        <f t="shared" si="21"/>
        <v>0</v>
      </c>
      <c r="N68" s="6">
        <f t="shared" si="25"/>
        <v>0</v>
      </c>
      <c r="O68" s="6">
        <f t="shared" si="26"/>
        <v>100</v>
      </c>
      <c r="P68">
        <v>0</v>
      </c>
      <c r="Q68">
        <v>0</v>
      </c>
      <c r="R68" t="s">
        <v>40</v>
      </c>
      <c r="S68">
        <v>0</v>
      </c>
      <c r="T68">
        <v>1</v>
      </c>
      <c r="U68" t="s">
        <v>40</v>
      </c>
      <c r="V68">
        <v>0</v>
      </c>
      <c r="W68">
        <v>1</v>
      </c>
      <c r="X68" t="s">
        <v>40</v>
      </c>
      <c r="Y68">
        <v>0</v>
      </c>
      <c r="Z68">
        <v>1</v>
      </c>
      <c r="AA68" t="s">
        <v>40</v>
      </c>
      <c r="AB68">
        <v>0</v>
      </c>
      <c r="AC68">
        <v>1</v>
      </c>
      <c r="AD68" t="s">
        <v>40</v>
      </c>
      <c r="AE68">
        <v>0</v>
      </c>
      <c r="AF68">
        <v>1</v>
      </c>
      <c r="AG68" t="s">
        <v>40</v>
      </c>
      <c r="AH68">
        <v>0</v>
      </c>
      <c r="AI68">
        <v>1</v>
      </c>
      <c r="AJ68">
        <v>0</v>
      </c>
      <c r="AK68" t="s">
        <v>40</v>
      </c>
      <c r="AL68">
        <v>0</v>
      </c>
      <c r="AM68">
        <v>1</v>
      </c>
      <c r="AN68" t="s">
        <v>98</v>
      </c>
      <c r="AO68" s="6">
        <f t="shared" si="17"/>
        <v>0</v>
      </c>
      <c r="AP68" s="6">
        <f t="shared" si="17"/>
        <v>100</v>
      </c>
      <c r="AQ68" t="s">
        <v>106</v>
      </c>
      <c r="AR68" s="6" t="str">
        <f t="shared" si="18"/>
        <v>BXX</v>
      </c>
      <c r="AS68" t="s">
        <v>1</v>
      </c>
      <c r="AT68" s="6" t="str">
        <f>$A$5&amp;".AO_EM"</f>
        <v>BXX_MXV1_ZI1.AO_EM</v>
      </c>
      <c r="AU68" t="s">
        <v>1</v>
      </c>
      <c r="AV68" s="6" t="str">
        <f t="shared" si="23"/>
        <v>Sample Valve Position Zero Setpoint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</row>
    <row r="69" spans="1:56" x14ac:dyDescent="0.25">
      <c r="A69" s="3" t="str">
        <f>$A$5&amp;"_"&amp;"AO_SV"</f>
        <v>BXX_MXV1_ZI1_AO_SV</v>
      </c>
      <c r="B69" s="6" t="str">
        <f t="shared" si="19"/>
        <v>BXX_MXV1_ZI1</v>
      </c>
      <c r="C69" s="6" t="str">
        <f>$C$5 &amp; " Override Value"</f>
        <v>Sample Valve Position Override Value</v>
      </c>
      <c r="D69" s="4">
        <f t="shared" si="20"/>
        <v>36</v>
      </c>
      <c r="E69" t="s">
        <v>1</v>
      </c>
      <c r="F69" t="s">
        <v>0</v>
      </c>
      <c r="G69" s="2">
        <v>700</v>
      </c>
      <c r="H69" t="s">
        <v>0</v>
      </c>
      <c r="I69" t="s">
        <v>1</v>
      </c>
      <c r="J69">
        <v>0</v>
      </c>
      <c r="K69">
        <v>0</v>
      </c>
      <c r="L69" s="6" t="str">
        <f t="shared" si="24"/>
        <v>%</v>
      </c>
      <c r="M69" s="6">
        <f t="shared" si="21"/>
        <v>0</v>
      </c>
      <c r="N69" s="6">
        <f t="shared" si="25"/>
        <v>0</v>
      </c>
      <c r="O69" s="6">
        <f t="shared" si="26"/>
        <v>100</v>
      </c>
      <c r="P69">
        <v>0</v>
      </c>
      <c r="Q69">
        <v>0</v>
      </c>
      <c r="R69" t="s">
        <v>40</v>
      </c>
      <c r="S69">
        <v>0</v>
      </c>
      <c r="T69">
        <v>1</v>
      </c>
      <c r="U69" t="s">
        <v>40</v>
      </c>
      <c r="V69">
        <v>0</v>
      </c>
      <c r="W69">
        <v>1</v>
      </c>
      <c r="X69" t="s">
        <v>40</v>
      </c>
      <c r="Y69">
        <v>0</v>
      </c>
      <c r="Z69">
        <v>1</v>
      </c>
      <c r="AA69" t="s">
        <v>40</v>
      </c>
      <c r="AB69">
        <v>0</v>
      </c>
      <c r="AC69">
        <v>1</v>
      </c>
      <c r="AD69" t="s">
        <v>40</v>
      </c>
      <c r="AE69">
        <v>0</v>
      </c>
      <c r="AF69">
        <v>1</v>
      </c>
      <c r="AG69" t="s">
        <v>40</v>
      </c>
      <c r="AH69">
        <v>0</v>
      </c>
      <c r="AI69">
        <v>1</v>
      </c>
      <c r="AJ69">
        <v>0</v>
      </c>
      <c r="AK69" t="s">
        <v>40</v>
      </c>
      <c r="AL69">
        <v>0</v>
      </c>
      <c r="AM69">
        <v>1</v>
      </c>
      <c r="AN69" t="s">
        <v>98</v>
      </c>
      <c r="AO69" s="6">
        <f t="shared" si="17"/>
        <v>0</v>
      </c>
      <c r="AP69" s="6">
        <f t="shared" si="17"/>
        <v>100</v>
      </c>
      <c r="AQ69" t="s">
        <v>106</v>
      </c>
      <c r="AR69" s="6" t="str">
        <f t="shared" si="18"/>
        <v>BXX</v>
      </c>
      <c r="AS69" t="s">
        <v>1</v>
      </c>
      <c r="AT69" s="6" t="str">
        <f>$A$5&amp;".AO_SV"</f>
        <v>BXX_MXV1_ZI1.AO_SV</v>
      </c>
      <c r="AU69" t="s">
        <v>1</v>
      </c>
      <c r="AV69" s="6" t="str">
        <f t="shared" si="23"/>
        <v>Sample Valve Position Override Value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</row>
    <row r="70" spans="1:56" x14ac:dyDescent="0.25">
      <c r="A70" s="3" t="str">
        <f>$A$5&amp;"_"&amp;"SN_ZA"</f>
        <v>BXX_MXV1_ZI1_SN_ZA</v>
      </c>
      <c r="B70" s="6" t="str">
        <f t="shared" si="19"/>
        <v>BXX_MXV1_ZI1</v>
      </c>
      <c r="C70" s="6" t="str">
        <f>$C$5 &amp; " Deviation Alarm Delay"</f>
        <v>Sample Valve Position Deviation Alarm Delay</v>
      </c>
      <c r="D70" s="4">
        <f t="shared" si="20"/>
        <v>43</v>
      </c>
      <c r="E70" t="s">
        <v>1</v>
      </c>
      <c r="F70" t="s">
        <v>0</v>
      </c>
      <c r="G70" s="2">
        <v>600</v>
      </c>
      <c r="H70" t="s">
        <v>0</v>
      </c>
      <c r="I70" t="s">
        <v>1</v>
      </c>
      <c r="J70">
        <v>0</v>
      </c>
      <c r="K70">
        <v>0</v>
      </c>
      <c r="L70" t="s">
        <v>109</v>
      </c>
      <c r="M70" s="6">
        <f t="shared" si="21"/>
        <v>0</v>
      </c>
      <c r="N70">
        <v>0</v>
      </c>
      <c r="O70">
        <v>999</v>
      </c>
      <c r="P70">
        <v>0</v>
      </c>
      <c r="Q70">
        <v>0</v>
      </c>
      <c r="R70" t="s">
        <v>40</v>
      </c>
      <c r="S70">
        <v>0</v>
      </c>
      <c r="T70">
        <v>1</v>
      </c>
      <c r="U70" t="s">
        <v>40</v>
      </c>
      <c r="V70">
        <v>0</v>
      </c>
      <c r="W70">
        <v>1</v>
      </c>
      <c r="X70" t="s">
        <v>40</v>
      </c>
      <c r="Y70">
        <v>0</v>
      </c>
      <c r="Z70">
        <v>1</v>
      </c>
      <c r="AA70" t="s">
        <v>40</v>
      </c>
      <c r="AB70">
        <v>0</v>
      </c>
      <c r="AC70">
        <v>1</v>
      </c>
      <c r="AD70" t="s">
        <v>40</v>
      </c>
      <c r="AE70">
        <v>0</v>
      </c>
      <c r="AF70">
        <v>1</v>
      </c>
      <c r="AG70" t="s">
        <v>40</v>
      </c>
      <c r="AH70">
        <v>0</v>
      </c>
      <c r="AI70">
        <v>1</v>
      </c>
      <c r="AJ70">
        <v>0</v>
      </c>
      <c r="AK70" t="s">
        <v>40</v>
      </c>
      <c r="AL70">
        <v>0</v>
      </c>
      <c r="AM70">
        <v>1</v>
      </c>
      <c r="AN70" t="s">
        <v>98</v>
      </c>
      <c r="AO70" s="6">
        <f t="shared" si="17"/>
        <v>0</v>
      </c>
      <c r="AP70" s="6">
        <f t="shared" si="17"/>
        <v>999</v>
      </c>
      <c r="AQ70" t="s">
        <v>106</v>
      </c>
      <c r="AR70" s="6" t="str">
        <f t="shared" si="18"/>
        <v>BXX</v>
      </c>
      <c r="AS70" t="s">
        <v>1</v>
      </c>
      <c r="AT70" s="6" t="str">
        <f>$A$5&amp;".SN_LO"</f>
        <v>BXX_MXV1_ZI1.SN_LO</v>
      </c>
      <c r="AU70" t="s">
        <v>1</v>
      </c>
      <c r="AV70" s="6" t="str">
        <f t="shared" si="23"/>
        <v>Sample Valve Position Deviation Alarm Delay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</row>
    <row r="71" spans="1:56" x14ac:dyDescent="0.25">
      <c r="A71" s="3" t="str">
        <f>$A$5&amp;"_"&amp;"AO_ZA"</f>
        <v>BXX_MXV1_ZI1_AO_ZA</v>
      </c>
      <c r="B71" s="6" t="str">
        <f t="shared" si="19"/>
        <v>BXX_MXV1_ZI1</v>
      </c>
      <c r="C71" s="6" t="str">
        <f>$C$5 &amp; " Deviation Setpoint"</f>
        <v>Sample Valve Position Deviation Setpoint</v>
      </c>
      <c r="D71" s="4">
        <f t="shared" si="20"/>
        <v>40</v>
      </c>
      <c r="E71" t="s">
        <v>1</v>
      </c>
      <c r="F71" t="s">
        <v>0</v>
      </c>
      <c r="G71" s="2">
        <v>600</v>
      </c>
      <c r="H71" t="s">
        <v>0</v>
      </c>
      <c r="I71" t="s">
        <v>1</v>
      </c>
      <c r="J71">
        <v>0</v>
      </c>
      <c r="K71">
        <v>0</v>
      </c>
      <c r="L71" s="6" t="str">
        <f t="shared" ref="L71" si="27">$L$26</f>
        <v>None</v>
      </c>
      <c r="M71" s="6">
        <f t="shared" si="21"/>
        <v>0</v>
      </c>
      <c r="N71" s="6">
        <f t="shared" si="25"/>
        <v>0</v>
      </c>
      <c r="O71" s="6">
        <f t="shared" si="26"/>
        <v>100</v>
      </c>
      <c r="P71">
        <v>0</v>
      </c>
      <c r="Q71">
        <v>0</v>
      </c>
      <c r="R71" t="s">
        <v>40</v>
      </c>
      <c r="S71">
        <v>0</v>
      </c>
      <c r="T71">
        <v>1</v>
      </c>
      <c r="U71" t="s">
        <v>40</v>
      </c>
      <c r="V71">
        <v>0</v>
      </c>
      <c r="W71">
        <v>1</v>
      </c>
      <c r="X71" t="s">
        <v>40</v>
      </c>
      <c r="Y71">
        <v>0</v>
      </c>
      <c r="Z71">
        <v>1</v>
      </c>
      <c r="AA71" t="s">
        <v>40</v>
      </c>
      <c r="AB71">
        <v>0</v>
      </c>
      <c r="AC71">
        <v>1</v>
      </c>
      <c r="AD71" t="s">
        <v>40</v>
      </c>
      <c r="AE71">
        <v>0</v>
      </c>
      <c r="AF71">
        <v>1</v>
      </c>
      <c r="AG71" t="s">
        <v>40</v>
      </c>
      <c r="AH71">
        <v>0</v>
      </c>
      <c r="AI71">
        <v>1</v>
      </c>
      <c r="AJ71">
        <v>0</v>
      </c>
      <c r="AK71" t="s">
        <v>40</v>
      </c>
      <c r="AL71">
        <v>0</v>
      </c>
      <c r="AM71">
        <v>1</v>
      </c>
      <c r="AN71" t="s">
        <v>98</v>
      </c>
      <c r="AO71" s="6">
        <f t="shared" si="17"/>
        <v>0</v>
      </c>
      <c r="AP71" s="6">
        <f t="shared" si="17"/>
        <v>100</v>
      </c>
      <c r="AQ71" t="s">
        <v>106</v>
      </c>
      <c r="AR71" s="6" t="str">
        <f t="shared" si="18"/>
        <v>BXX</v>
      </c>
      <c r="AS71" t="s">
        <v>1</v>
      </c>
      <c r="AT71" s="6" t="str">
        <f>$A$5&amp;".AO_LL"</f>
        <v>BXX_MXV1_ZI1.AO_LL</v>
      </c>
      <c r="AU71" t="s">
        <v>1</v>
      </c>
      <c r="AV71" s="6" t="str">
        <f t="shared" si="23"/>
        <v>Sample Valve Position Deviation Setpoint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</row>
    <row r="72" spans="1:56" x14ac:dyDescent="0.25">
      <c r="A72" s="3" t="str">
        <f>$A$5&amp;"_"&amp;"E3_CV"</f>
        <v>BXX_MXV1_ZI1_E3_CV</v>
      </c>
      <c r="B72" s="6" t="str">
        <f t="shared" si="19"/>
        <v>BXX_MXV1_ZI1</v>
      </c>
      <c r="C72" s="6" t="str">
        <f>$C$5 &amp; " Units 3"</f>
        <v>Sample Valve Position Units 3</v>
      </c>
      <c r="D72" s="4">
        <f t="shared" si="20"/>
        <v>29</v>
      </c>
      <c r="E72" t="s">
        <v>1</v>
      </c>
      <c r="F72" t="s">
        <v>1</v>
      </c>
      <c r="G72">
        <v>0</v>
      </c>
      <c r="H72" t="s">
        <v>0</v>
      </c>
      <c r="I72" t="s">
        <v>1</v>
      </c>
      <c r="J72">
        <v>0</v>
      </c>
      <c r="K72">
        <v>0</v>
      </c>
      <c r="L72" s="2" t="s">
        <v>108</v>
      </c>
      <c r="M72" s="6">
        <f t="shared" si="21"/>
        <v>4</v>
      </c>
      <c r="N72" s="2">
        <v>4</v>
      </c>
      <c r="O72" s="2">
        <v>20</v>
      </c>
      <c r="P72">
        <v>0</v>
      </c>
      <c r="Q72">
        <v>0</v>
      </c>
      <c r="R72" t="s">
        <v>40</v>
      </c>
      <c r="S72">
        <v>0</v>
      </c>
      <c r="T72">
        <v>1</v>
      </c>
      <c r="U72" t="s">
        <v>40</v>
      </c>
      <c r="V72">
        <v>0</v>
      </c>
      <c r="W72">
        <v>1</v>
      </c>
      <c r="X72" t="s">
        <v>40</v>
      </c>
      <c r="Y72">
        <v>0</v>
      </c>
      <c r="Z72">
        <v>1</v>
      </c>
      <c r="AA72" t="s">
        <v>40</v>
      </c>
      <c r="AB72">
        <v>0</v>
      </c>
      <c r="AC72">
        <v>1</v>
      </c>
      <c r="AD72" t="s">
        <v>40</v>
      </c>
      <c r="AE72">
        <v>0</v>
      </c>
      <c r="AF72">
        <v>1</v>
      </c>
      <c r="AG72" t="s">
        <v>40</v>
      </c>
      <c r="AH72">
        <v>0</v>
      </c>
      <c r="AI72">
        <v>1</v>
      </c>
      <c r="AJ72">
        <v>0</v>
      </c>
      <c r="AK72" t="s">
        <v>40</v>
      </c>
      <c r="AL72">
        <v>0</v>
      </c>
      <c r="AM72">
        <v>1</v>
      </c>
      <c r="AN72" t="s">
        <v>98</v>
      </c>
      <c r="AO72" s="6">
        <f t="shared" si="17"/>
        <v>4</v>
      </c>
      <c r="AP72" s="6">
        <f t="shared" si="17"/>
        <v>20</v>
      </c>
      <c r="AQ72" t="s">
        <v>106</v>
      </c>
      <c r="AR72" s="6" t="str">
        <f t="shared" si="18"/>
        <v>BXX</v>
      </c>
      <c r="AS72" t="s">
        <v>1</v>
      </c>
      <c r="AT72" s="6" t="str">
        <f>$A$5&amp;".E3_CV"</f>
        <v>BXX_MXV1_ZI1.E3_CV</v>
      </c>
      <c r="AU72" t="s">
        <v>1</v>
      </c>
      <c r="AV72" s="6" t="str">
        <f t="shared" si="23"/>
        <v>Sample Valve Position Units 3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</row>
    <row r="73" spans="1:56" x14ac:dyDescent="0.25">
      <c r="A73" s="3" t="str">
        <f>$A$5&amp;"_"&amp;"E2_CV"</f>
        <v>BXX_MXV1_ZI1_E2_CV</v>
      </c>
      <c r="B73" s="6" t="str">
        <f t="shared" si="19"/>
        <v>BXX_MXV1_ZI1</v>
      </c>
      <c r="C73" s="6" t="str">
        <f>$C$5 &amp; " Units 2"</f>
        <v>Sample Valve Position Units 2</v>
      </c>
      <c r="D73" s="4">
        <f t="shared" si="20"/>
        <v>29</v>
      </c>
      <c r="E73" t="s">
        <v>1</v>
      </c>
      <c r="F73" t="s">
        <v>1</v>
      </c>
      <c r="G73">
        <v>0</v>
      </c>
      <c r="H73" t="s">
        <v>0</v>
      </c>
      <c r="I73" t="s">
        <v>1</v>
      </c>
      <c r="J73">
        <v>0</v>
      </c>
      <c r="K73">
        <v>0</v>
      </c>
      <c r="L73" s="2" t="s">
        <v>99</v>
      </c>
      <c r="M73" s="6">
        <f t="shared" si="21"/>
        <v>0</v>
      </c>
      <c r="N73" s="2">
        <v>0</v>
      </c>
      <c r="O73" s="2">
        <v>100</v>
      </c>
      <c r="P73">
        <v>0</v>
      </c>
      <c r="Q73">
        <v>0</v>
      </c>
      <c r="R73" t="s">
        <v>40</v>
      </c>
      <c r="S73">
        <v>0</v>
      </c>
      <c r="T73">
        <v>1</v>
      </c>
      <c r="U73" t="s">
        <v>40</v>
      </c>
      <c r="V73">
        <v>0</v>
      </c>
      <c r="W73">
        <v>1</v>
      </c>
      <c r="X73" t="s">
        <v>40</v>
      </c>
      <c r="Y73">
        <v>0</v>
      </c>
      <c r="Z73">
        <v>1</v>
      </c>
      <c r="AA73" t="s">
        <v>40</v>
      </c>
      <c r="AB73">
        <v>0</v>
      </c>
      <c r="AC73">
        <v>1</v>
      </c>
      <c r="AD73" t="s">
        <v>40</v>
      </c>
      <c r="AE73">
        <v>0</v>
      </c>
      <c r="AF73">
        <v>1</v>
      </c>
      <c r="AG73" t="s">
        <v>40</v>
      </c>
      <c r="AH73">
        <v>0</v>
      </c>
      <c r="AI73">
        <v>1</v>
      </c>
      <c r="AJ73">
        <v>0</v>
      </c>
      <c r="AK73" t="s">
        <v>40</v>
      </c>
      <c r="AL73">
        <v>0</v>
      </c>
      <c r="AM73">
        <v>1</v>
      </c>
      <c r="AN73" t="s">
        <v>98</v>
      </c>
      <c r="AO73" s="6">
        <f t="shared" si="17"/>
        <v>0</v>
      </c>
      <c r="AP73" s="6">
        <f t="shared" si="17"/>
        <v>100</v>
      </c>
      <c r="AQ73" t="s">
        <v>106</v>
      </c>
      <c r="AR73" s="6" t="str">
        <f t="shared" si="18"/>
        <v>BXX</v>
      </c>
      <c r="AS73" t="s">
        <v>1</v>
      </c>
      <c r="AT73" s="6" t="str">
        <f>$A$5&amp;".E2_CV"</f>
        <v>BXX_MXV1_ZI1.E2_CV</v>
      </c>
      <c r="AU73" t="s">
        <v>1</v>
      </c>
      <c r="AV73" s="6" t="str">
        <f t="shared" si="23"/>
        <v>Sample Valve Position Units 2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</row>
    <row r="74" spans="1:56" x14ac:dyDescent="0.25">
      <c r="A74" s="1" t="s">
        <v>112</v>
      </c>
      <c r="B74" t="s">
        <v>4</v>
      </c>
      <c r="C74" t="s">
        <v>5</v>
      </c>
      <c r="D74" s="4">
        <f t="shared" si="20"/>
        <v>7</v>
      </c>
      <c r="E74" t="s">
        <v>30</v>
      </c>
      <c r="F74" t="s">
        <v>6</v>
      </c>
      <c r="G74" t="s">
        <v>7</v>
      </c>
      <c r="H74" t="s">
        <v>31</v>
      </c>
      <c r="I74" t="s">
        <v>113</v>
      </c>
      <c r="J74" t="s">
        <v>114</v>
      </c>
      <c r="K74" t="s">
        <v>37</v>
      </c>
      <c r="L74" t="s">
        <v>39</v>
      </c>
    </row>
    <row r="75" spans="1:56" x14ac:dyDescent="0.25">
      <c r="A75" s="6" t="str">
        <f>$A$3&amp;"_"&amp;"DI_NM"</f>
        <v>BXX_DEV1_FV1_DI_NM</v>
      </c>
      <c r="B75" s="6" t="str">
        <f>$A$3</f>
        <v>BXX_DEV1_FV1</v>
      </c>
      <c r="C75" s="6" t="str">
        <f>$A$3</f>
        <v>BXX_DEV1_FV1</v>
      </c>
      <c r="D75" s="4">
        <f t="shared" si="20"/>
        <v>12</v>
      </c>
      <c r="E75" t="s">
        <v>1</v>
      </c>
      <c r="F75" t="s">
        <v>1</v>
      </c>
      <c r="G75">
        <v>0</v>
      </c>
      <c r="H75" t="s">
        <v>0</v>
      </c>
      <c r="I75">
        <v>24</v>
      </c>
      <c r="J75" s="6" t="str">
        <f>$A$3</f>
        <v>BXX_DEV1_FV1</v>
      </c>
      <c r="K75" s="6" t="str">
        <f>$A$3</f>
        <v>BXX_DEV1_FV1</v>
      </c>
    </row>
    <row r="76" spans="1:56" x14ac:dyDescent="0.25">
      <c r="A76" s="3" t="str">
        <f>$A$5&amp;"_"&amp;"DI_NM"</f>
        <v>BXX_MXV1_ZI1_DI_NM</v>
      </c>
      <c r="B76" s="6" t="str">
        <f>$A$5</f>
        <v>BXX_MXV1_ZI1</v>
      </c>
      <c r="C76" s="6" t="str">
        <f>$A$5</f>
        <v>BXX_MXV1_ZI1</v>
      </c>
      <c r="D76" s="4">
        <f t="shared" si="20"/>
        <v>12</v>
      </c>
      <c r="E76" t="s">
        <v>1</v>
      </c>
      <c r="F76" t="s">
        <v>1</v>
      </c>
      <c r="G76">
        <v>0</v>
      </c>
      <c r="H76" t="s">
        <v>0</v>
      </c>
      <c r="I76">
        <v>24</v>
      </c>
      <c r="J76" s="6" t="str">
        <f>C76</f>
        <v>BXX_MXV1_ZI1</v>
      </c>
      <c r="K76" s="6" t="str">
        <f>C76</f>
        <v>BXX_MXV1_ZI1</v>
      </c>
    </row>
    <row r="77" spans="1:56" s="146" customFormat="1" x14ac:dyDescent="0.25">
      <c r="A77" s="147" t="s">
        <v>603</v>
      </c>
      <c r="B77" s="147" t="s">
        <v>144</v>
      </c>
      <c r="C77" s="147" t="s">
        <v>341</v>
      </c>
      <c r="D77" s="4">
        <f t="shared" si="20"/>
        <v>21</v>
      </c>
      <c r="E77" s="149" t="s">
        <v>1</v>
      </c>
      <c r="F77" s="149" t="s">
        <v>1</v>
      </c>
      <c r="G77" s="149">
        <v>0</v>
      </c>
      <c r="H77" s="149" t="s">
        <v>0</v>
      </c>
      <c r="I77" s="149">
        <v>64</v>
      </c>
      <c r="J77" s="6"/>
      <c r="K77" s="6"/>
    </row>
    <row r="78" spans="1:56" s="146" customFormat="1" x14ac:dyDescent="0.25">
      <c r="A78" s="148" t="s">
        <v>604</v>
      </c>
      <c r="B78" s="148" t="s">
        <v>144</v>
      </c>
      <c r="C78" s="148" t="s">
        <v>342</v>
      </c>
      <c r="D78" s="4">
        <f t="shared" si="20"/>
        <v>23</v>
      </c>
      <c r="E78" s="150" t="s">
        <v>1</v>
      </c>
      <c r="F78" s="150" t="s">
        <v>1</v>
      </c>
      <c r="G78" s="150">
        <v>0</v>
      </c>
      <c r="H78" s="150" t="s">
        <v>0</v>
      </c>
      <c r="I78" s="150">
        <v>64</v>
      </c>
      <c r="J78" s="6"/>
      <c r="K78" s="6"/>
    </row>
    <row r="79" spans="1:56" x14ac:dyDescent="0.25">
      <c r="A79" t="s">
        <v>115</v>
      </c>
      <c r="B79" t="s">
        <v>4</v>
      </c>
      <c r="C79" t="s">
        <v>5</v>
      </c>
      <c r="D79" s="4">
        <f t="shared" si="20"/>
        <v>7</v>
      </c>
      <c r="E79" t="s">
        <v>30</v>
      </c>
      <c r="F79" t="s">
        <v>6</v>
      </c>
      <c r="G79" t="s">
        <v>7</v>
      </c>
      <c r="H79" t="s">
        <v>31</v>
      </c>
      <c r="I79" t="s">
        <v>113</v>
      </c>
      <c r="J79" t="s">
        <v>114</v>
      </c>
      <c r="K79" t="s">
        <v>45</v>
      </c>
      <c r="L79" t="s">
        <v>46</v>
      </c>
      <c r="M79" t="s">
        <v>47</v>
      </c>
      <c r="N79" t="s">
        <v>48</v>
      </c>
      <c r="O79" t="s">
        <v>37</v>
      </c>
      <c r="P79" t="s">
        <v>39</v>
      </c>
    </row>
    <row r="80" spans="1:56" x14ac:dyDescent="0.25">
      <c r="A80" s="3" t="str">
        <f>$A$3&amp;"_"&amp;"PB_SU_RN"</f>
        <v>BXX_DEV1_FV1_PB_SU_RN</v>
      </c>
      <c r="B80" s="6" t="str">
        <f>$A$3</f>
        <v>BXX_DEV1_FV1</v>
      </c>
      <c r="C80" s="6" t="str">
        <f>$C$3 &amp; " Uncomm. Start Dis Reason"</f>
        <v>Sample Valve Uncomm. Start Dis Reason</v>
      </c>
      <c r="D80" s="4">
        <f t="shared" si="20"/>
        <v>37</v>
      </c>
      <c r="E80" t="s">
        <v>1</v>
      </c>
      <c r="F80" t="s">
        <v>1</v>
      </c>
      <c r="G80">
        <v>0</v>
      </c>
      <c r="H80" t="s">
        <v>0</v>
      </c>
      <c r="I80">
        <v>131</v>
      </c>
      <c r="J80" t="s">
        <v>123</v>
      </c>
      <c r="K80" s="2" t="s">
        <v>124</v>
      </c>
      <c r="L80" t="s">
        <v>0</v>
      </c>
      <c r="M80" s="6" t="str">
        <f>A80</f>
        <v>BXX_DEV1_FV1_PB_SU_RN</v>
      </c>
      <c r="N80" t="s">
        <v>1</v>
      </c>
      <c r="O80" s="6" t="str">
        <f>C80</f>
        <v>Sample Valve Uncomm. Start Dis Reason</v>
      </c>
    </row>
    <row r="81" spans="1:15" x14ac:dyDescent="0.25">
      <c r="A81" s="3" t="str">
        <f>$A$3&amp;"_"&amp;"PB_SF_RN"</f>
        <v>BXX_DEV1_FV1_PB_SF_RN</v>
      </c>
      <c r="B81" s="6" t="str">
        <f t="shared" ref="B81:B85" si="28">$A$3</f>
        <v>BXX_DEV1_FV1</v>
      </c>
      <c r="C81" s="6" t="str">
        <f>$C$3 &amp; " Failed To Start Dis Reason"</f>
        <v>Sample Valve Failed To Start Dis Reason</v>
      </c>
      <c r="D81" s="4">
        <f t="shared" si="20"/>
        <v>39</v>
      </c>
      <c r="E81" t="s">
        <v>1</v>
      </c>
      <c r="F81" t="s">
        <v>1</v>
      </c>
      <c r="G81">
        <v>0</v>
      </c>
      <c r="H81" t="s">
        <v>0</v>
      </c>
      <c r="I81">
        <v>131</v>
      </c>
      <c r="J81" t="s">
        <v>123</v>
      </c>
      <c r="K81" s="6" t="str">
        <f>$K$80</f>
        <v>BXXCPU01_1</v>
      </c>
      <c r="L81" t="s">
        <v>0</v>
      </c>
      <c r="M81" s="6" t="str">
        <f t="shared" ref="M81:M85" si="29">A81</f>
        <v>BXX_DEV1_FV1_PB_SF_RN</v>
      </c>
      <c r="N81" t="s">
        <v>1</v>
      </c>
      <c r="O81" s="6" t="str">
        <f t="shared" ref="O81:O85" si="30">C81</f>
        <v>Sample Valve Failed To Start Dis Reason</v>
      </c>
    </row>
    <row r="82" spans="1:15" x14ac:dyDescent="0.25">
      <c r="A82" s="3" t="str">
        <f>$A$3&amp;"_"&amp;"PB_XF_RN"</f>
        <v>BXX_DEV1_FV1_PB_XF_RN</v>
      </c>
      <c r="B82" s="6" t="str">
        <f t="shared" si="28"/>
        <v>BXX_DEV1_FV1</v>
      </c>
      <c r="C82" s="6" t="str">
        <f>$C$3 &amp; " Failed To Stop Dis Reason"</f>
        <v>Sample Valve Failed To Stop Dis Reason</v>
      </c>
      <c r="D82" s="4">
        <f t="shared" si="20"/>
        <v>38</v>
      </c>
      <c r="E82" t="s">
        <v>1</v>
      </c>
      <c r="F82" t="s">
        <v>1</v>
      </c>
      <c r="G82">
        <v>0</v>
      </c>
      <c r="H82" t="s">
        <v>0</v>
      </c>
      <c r="I82">
        <v>131</v>
      </c>
      <c r="J82" t="s">
        <v>123</v>
      </c>
      <c r="K82" s="6" t="str">
        <f>$K$80</f>
        <v>BXXCPU01_1</v>
      </c>
      <c r="L82" t="s">
        <v>0</v>
      </c>
      <c r="M82" s="6" t="str">
        <f t="shared" si="29"/>
        <v>BXX_DEV1_FV1_PB_XF_RN</v>
      </c>
      <c r="N82" t="s">
        <v>1</v>
      </c>
      <c r="O82" s="6" t="str">
        <f t="shared" si="30"/>
        <v>Sample Valve Failed To Stop Dis Reason</v>
      </c>
    </row>
    <row r="83" spans="1:15" x14ac:dyDescent="0.25">
      <c r="A83" s="3" t="str">
        <f>$A$3&amp;"_"&amp;"PB_XU_RN"</f>
        <v>BXX_DEV1_FV1_PB_XU_RN</v>
      </c>
      <c r="B83" s="6" t="str">
        <f t="shared" si="28"/>
        <v>BXX_DEV1_FV1</v>
      </c>
      <c r="C83" s="6" t="str">
        <f>$C$3 &amp; " Uncomm Stop Disabled Reason"</f>
        <v>Sample Valve Uncomm Stop Disabled Reason</v>
      </c>
      <c r="D83" s="4">
        <f t="shared" si="20"/>
        <v>40</v>
      </c>
      <c r="E83" t="s">
        <v>1</v>
      </c>
      <c r="F83" t="s">
        <v>1</v>
      </c>
      <c r="G83">
        <v>0</v>
      </c>
      <c r="H83" t="s">
        <v>0</v>
      </c>
      <c r="I83">
        <v>131</v>
      </c>
      <c r="J83" t="s">
        <v>123</v>
      </c>
      <c r="K83" s="6" t="str">
        <f>$K$80</f>
        <v>BXXCPU01_1</v>
      </c>
      <c r="L83" t="s">
        <v>0</v>
      </c>
      <c r="M83" s="6" t="str">
        <f t="shared" si="29"/>
        <v>BXX_DEV1_FV1_PB_XU_RN</v>
      </c>
      <c r="N83" t="s">
        <v>1</v>
      </c>
      <c r="O83" s="6" t="str">
        <f t="shared" si="30"/>
        <v>Sample Valve Uncomm Stop Disabled Reason</v>
      </c>
    </row>
    <row r="84" spans="1:15" x14ac:dyDescent="0.25">
      <c r="A84" s="3" t="str">
        <f>$A$3&amp;"_"&amp;"PB_AE_RN"</f>
        <v>BXX_DEV1_FV1_PB_AE_RN</v>
      </c>
      <c r="B84" s="6" t="str">
        <f t="shared" si="28"/>
        <v>BXX_DEV1_FV1</v>
      </c>
      <c r="C84" s="6" t="str">
        <f>$C$3 &amp; " Alarms Disabled Reason"</f>
        <v>Sample Valve Alarms Disabled Reason</v>
      </c>
      <c r="D84" s="4">
        <f t="shared" si="20"/>
        <v>35</v>
      </c>
      <c r="E84" t="s">
        <v>1</v>
      </c>
      <c r="F84" t="s">
        <v>1</v>
      </c>
      <c r="G84">
        <v>0</v>
      </c>
      <c r="H84" t="s">
        <v>0</v>
      </c>
      <c r="I84">
        <v>131</v>
      </c>
      <c r="J84" t="s">
        <v>123</v>
      </c>
      <c r="K84" s="6" t="str">
        <f>$K$80</f>
        <v>BXXCPU01_1</v>
      </c>
      <c r="L84" t="s">
        <v>0</v>
      </c>
      <c r="M84" s="6" t="str">
        <f t="shared" si="29"/>
        <v>BXX_DEV1_FV1_PB_AE_RN</v>
      </c>
      <c r="N84" t="s">
        <v>1</v>
      </c>
      <c r="O84" s="6" t="str">
        <f t="shared" si="30"/>
        <v>Sample Valve Alarms Disabled Reason</v>
      </c>
    </row>
    <row r="85" spans="1:15" x14ac:dyDescent="0.25">
      <c r="A85" s="3" t="str">
        <f>$A$3&amp;"_"&amp;"PB_GA_SR"</f>
        <v>BXX_DEV1_FV1_PB_GA_SR</v>
      </c>
      <c r="B85" s="6" t="str">
        <f t="shared" si="28"/>
        <v>BXX_DEV1_FV1</v>
      </c>
      <c r="C85" s="6" t="str">
        <f>$C$3&amp;" General Alarm Disabled Reason"</f>
        <v>Sample Valve General Alarm Disabled Reason</v>
      </c>
      <c r="D85" s="4">
        <f t="shared" si="20"/>
        <v>42</v>
      </c>
      <c r="E85" t="s">
        <v>1</v>
      </c>
      <c r="F85" t="s">
        <v>1</v>
      </c>
      <c r="G85">
        <v>0</v>
      </c>
      <c r="H85" t="s">
        <v>0</v>
      </c>
      <c r="I85">
        <v>131</v>
      </c>
      <c r="J85" t="s">
        <v>123</v>
      </c>
      <c r="K85" s="6" t="str">
        <f>$K$80</f>
        <v>BXXCPU01_1</v>
      </c>
      <c r="L85" t="s">
        <v>0</v>
      </c>
      <c r="M85" s="6" t="str">
        <f t="shared" si="29"/>
        <v>BXX_DEV1_FV1_PB_GA_SR</v>
      </c>
      <c r="N85" t="s">
        <v>1</v>
      </c>
      <c r="O85" s="6" t="str">
        <f t="shared" si="30"/>
        <v>Sample Valve General Alarm Disabled Reason</v>
      </c>
    </row>
    <row r="86" spans="1:15" s="131" customFormat="1" x14ac:dyDescent="0.25">
      <c r="A86" s="136" t="s">
        <v>176</v>
      </c>
      <c r="B86" s="136" t="s">
        <v>4</v>
      </c>
      <c r="C86" s="136" t="s">
        <v>5</v>
      </c>
      <c r="D86" s="4">
        <f t="shared" si="20"/>
        <v>7</v>
      </c>
      <c r="E86" s="137" t="s">
        <v>6</v>
      </c>
      <c r="F86" s="137" t="s">
        <v>7</v>
      </c>
      <c r="G86" s="137" t="s">
        <v>31</v>
      </c>
      <c r="H86" s="137" t="s">
        <v>39</v>
      </c>
      <c r="K86" s="6"/>
      <c r="M86" s="6"/>
      <c r="O86" s="6"/>
    </row>
    <row r="87" spans="1:15" s="139" customFormat="1" x14ac:dyDescent="0.25">
      <c r="A87" s="1" t="s">
        <v>605</v>
      </c>
      <c r="B87" s="140" t="s">
        <v>144</v>
      </c>
      <c r="C87" s="140" t="s">
        <v>333</v>
      </c>
      <c r="D87" s="4">
        <f t="shared" si="20"/>
        <v>35</v>
      </c>
      <c r="E87" s="140" t="s">
        <v>1</v>
      </c>
      <c r="F87" s="140">
        <v>0</v>
      </c>
      <c r="G87" s="140" t="s">
        <v>1</v>
      </c>
      <c r="K87" s="6"/>
      <c r="M87" s="6"/>
      <c r="O87" s="6"/>
    </row>
    <row r="88" spans="1:15" s="137" customFormat="1" x14ac:dyDescent="0.25">
      <c r="A88" s="1" t="s">
        <v>626</v>
      </c>
      <c r="B88" s="138" t="s">
        <v>144</v>
      </c>
      <c r="C88" s="138" t="s">
        <v>314</v>
      </c>
      <c r="D88" s="4">
        <f t="shared" si="20"/>
        <v>39</v>
      </c>
      <c r="E88" s="139" t="s">
        <v>1</v>
      </c>
      <c r="F88" s="139">
        <v>0</v>
      </c>
      <c r="G88" s="139" t="s">
        <v>1</v>
      </c>
      <c r="K88" s="6"/>
      <c r="M88" s="6"/>
      <c r="O88" s="6"/>
    </row>
    <row r="89" spans="1:15" s="137" customFormat="1" x14ac:dyDescent="0.25">
      <c r="A89" s="1" t="s">
        <v>627</v>
      </c>
      <c r="B89" s="138" t="s">
        <v>144</v>
      </c>
      <c r="C89" s="138" t="s">
        <v>315</v>
      </c>
      <c r="D89" s="4">
        <f t="shared" si="20"/>
        <v>30</v>
      </c>
      <c r="E89" s="139" t="s">
        <v>1</v>
      </c>
      <c r="F89" s="139">
        <v>0</v>
      </c>
      <c r="G89" s="139" t="s">
        <v>1</v>
      </c>
      <c r="K89" s="6"/>
      <c r="M89" s="6"/>
      <c r="O89" s="6"/>
    </row>
    <row r="90" spans="1:15" s="137" customFormat="1" x14ac:dyDescent="0.25">
      <c r="A90" s="1" t="s">
        <v>628</v>
      </c>
      <c r="B90" s="138" t="s">
        <v>144</v>
      </c>
      <c r="C90" s="138" t="s">
        <v>316</v>
      </c>
      <c r="D90" s="4">
        <f t="shared" si="20"/>
        <v>29</v>
      </c>
      <c r="E90" s="139" t="s">
        <v>1</v>
      </c>
      <c r="F90" s="139">
        <v>0</v>
      </c>
      <c r="G90" s="139" t="s">
        <v>1</v>
      </c>
      <c r="K90" s="6"/>
      <c r="M90" s="6"/>
      <c r="O90" s="6"/>
    </row>
    <row r="91" spans="1:15" s="137" customFormat="1" x14ac:dyDescent="0.25">
      <c r="A91" s="1" t="s">
        <v>629</v>
      </c>
      <c r="B91" s="138" t="s">
        <v>144</v>
      </c>
      <c r="C91" s="138" t="s">
        <v>317</v>
      </c>
      <c r="D91" s="4">
        <f t="shared" si="20"/>
        <v>30</v>
      </c>
      <c r="E91" s="139" t="s">
        <v>1</v>
      </c>
      <c r="F91" s="139">
        <v>0</v>
      </c>
      <c r="G91" s="139" t="s">
        <v>1</v>
      </c>
      <c r="K91" s="6"/>
      <c r="M91" s="6"/>
      <c r="O91" s="6"/>
    </row>
    <row r="92" spans="1:15" s="137" customFormat="1" x14ac:dyDescent="0.25">
      <c r="A92" s="1" t="s">
        <v>630</v>
      </c>
      <c r="B92" s="138" t="s">
        <v>144</v>
      </c>
      <c r="C92" s="138" t="s">
        <v>318</v>
      </c>
      <c r="D92" s="4">
        <f t="shared" si="20"/>
        <v>41</v>
      </c>
      <c r="E92" s="139" t="s">
        <v>1</v>
      </c>
      <c r="F92" s="139">
        <v>0</v>
      </c>
      <c r="G92" s="139" t="s">
        <v>1</v>
      </c>
      <c r="K92" s="6"/>
      <c r="M92" s="6"/>
      <c r="O92" s="6"/>
    </row>
    <row r="93" spans="1:15" s="137" customFormat="1" x14ac:dyDescent="0.25">
      <c r="A93" s="57" t="s">
        <v>631</v>
      </c>
      <c r="B93" s="138" t="s">
        <v>144</v>
      </c>
      <c r="C93" s="138" t="s">
        <v>319</v>
      </c>
      <c r="D93" s="4">
        <f t="shared" si="20"/>
        <v>42</v>
      </c>
      <c r="E93" s="139" t="s">
        <v>1</v>
      </c>
      <c r="F93" s="139">
        <v>0</v>
      </c>
      <c r="G93" s="139" t="s">
        <v>1</v>
      </c>
      <c r="K93" s="6"/>
      <c r="M93" s="6"/>
      <c r="O93" s="6"/>
    </row>
    <row r="94" spans="1:15" s="137" customFormat="1" x14ac:dyDescent="0.25">
      <c r="A94" s="1" t="s">
        <v>632</v>
      </c>
      <c r="B94" s="138" t="s">
        <v>144</v>
      </c>
      <c r="C94" s="138" t="s">
        <v>320</v>
      </c>
      <c r="D94" s="4">
        <f t="shared" si="20"/>
        <v>43</v>
      </c>
      <c r="E94" s="139" t="s">
        <v>1</v>
      </c>
      <c r="F94" s="139">
        <v>0</v>
      </c>
      <c r="G94" s="139" t="s">
        <v>1</v>
      </c>
      <c r="K94" s="6"/>
      <c r="M94" s="6"/>
      <c r="O94" s="6"/>
    </row>
    <row r="95" spans="1:15" s="137" customFormat="1" x14ac:dyDescent="0.25">
      <c r="A95" s="1" t="s">
        <v>633</v>
      </c>
      <c r="B95" s="138" t="s">
        <v>144</v>
      </c>
      <c r="C95" s="138" t="s">
        <v>321</v>
      </c>
      <c r="D95" s="4">
        <f t="shared" si="20"/>
        <v>42</v>
      </c>
      <c r="E95" s="139" t="s">
        <v>1</v>
      </c>
      <c r="F95" s="139">
        <v>0</v>
      </c>
      <c r="G95" s="139" t="s">
        <v>1</v>
      </c>
      <c r="K95" s="6"/>
      <c r="M95" s="6"/>
      <c r="O95" s="6"/>
    </row>
    <row r="96" spans="1:15" s="137" customFormat="1" x14ac:dyDescent="0.25">
      <c r="A96" s="1" t="s">
        <v>634</v>
      </c>
      <c r="B96" s="138" t="s">
        <v>144</v>
      </c>
      <c r="C96" s="138" t="s">
        <v>322</v>
      </c>
      <c r="D96" s="4">
        <f t="shared" si="20"/>
        <v>35</v>
      </c>
      <c r="E96" s="139" t="s">
        <v>1</v>
      </c>
      <c r="F96" s="139">
        <v>0</v>
      </c>
      <c r="G96" s="139" t="s">
        <v>1</v>
      </c>
      <c r="K96" s="6"/>
      <c r="M96" s="6"/>
      <c r="O96" s="6"/>
    </row>
    <row r="97" spans="1:15" s="137" customFormat="1" x14ac:dyDescent="0.25">
      <c r="A97" s="1" t="s">
        <v>606</v>
      </c>
      <c r="B97" s="138" t="s">
        <v>144</v>
      </c>
      <c r="C97" s="138" t="s">
        <v>323</v>
      </c>
      <c r="D97" s="4">
        <f t="shared" si="20"/>
        <v>34</v>
      </c>
      <c r="E97" s="139" t="s">
        <v>1</v>
      </c>
      <c r="F97" s="139">
        <v>0</v>
      </c>
      <c r="G97" s="139" t="s">
        <v>1</v>
      </c>
      <c r="K97" s="6"/>
      <c r="M97" s="6"/>
      <c r="O97" s="6"/>
    </row>
    <row r="98" spans="1:15" s="137" customFormat="1" x14ac:dyDescent="0.25">
      <c r="A98" s="1" t="s">
        <v>607</v>
      </c>
      <c r="B98" s="138" t="s">
        <v>144</v>
      </c>
      <c r="C98" s="138" t="s">
        <v>324</v>
      </c>
      <c r="D98" s="4">
        <f t="shared" si="20"/>
        <v>49</v>
      </c>
      <c r="E98" s="139" t="s">
        <v>1</v>
      </c>
      <c r="F98" s="139">
        <v>0</v>
      </c>
      <c r="G98" s="139" t="s">
        <v>1</v>
      </c>
      <c r="K98" s="6"/>
      <c r="M98" s="6"/>
      <c r="O98" s="6"/>
    </row>
    <row r="99" spans="1:15" s="137" customFormat="1" x14ac:dyDescent="0.25">
      <c r="A99" s="1" t="s">
        <v>608</v>
      </c>
      <c r="B99" s="138" t="s">
        <v>144</v>
      </c>
      <c r="C99" s="138" t="s">
        <v>325</v>
      </c>
      <c r="D99" s="4">
        <f t="shared" si="20"/>
        <v>38</v>
      </c>
      <c r="E99" s="139" t="s">
        <v>1</v>
      </c>
      <c r="F99" s="139">
        <v>0</v>
      </c>
      <c r="G99" s="139" t="s">
        <v>1</v>
      </c>
      <c r="K99" s="6"/>
      <c r="M99" s="6"/>
      <c r="O99" s="6"/>
    </row>
    <row r="100" spans="1:15" s="137" customFormat="1" x14ac:dyDescent="0.25">
      <c r="A100" s="1" t="s">
        <v>609</v>
      </c>
      <c r="B100" s="138" t="s">
        <v>144</v>
      </c>
      <c r="C100" s="138" t="s">
        <v>326</v>
      </c>
      <c r="D100" s="4">
        <f t="shared" si="20"/>
        <v>47</v>
      </c>
      <c r="E100" s="139" t="s">
        <v>1</v>
      </c>
      <c r="F100" s="139">
        <v>0</v>
      </c>
      <c r="G100" s="139" t="s">
        <v>1</v>
      </c>
      <c r="K100" s="6"/>
      <c r="M100" s="6"/>
      <c r="O100" s="6"/>
    </row>
    <row r="101" spans="1:15" s="137" customFormat="1" x14ac:dyDescent="0.25">
      <c r="A101" s="1" t="s">
        <v>610</v>
      </c>
      <c r="B101" s="138" t="s">
        <v>144</v>
      </c>
      <c r="C101" s="138" t="s">
        <v>327</v>
      </c>
      <c r="D101" s="4">
        <f t="shared" si="20"/>
        <v>37</v>
      </c>
      <c r="E101" s="139" t="s">
        <v>1</v>
      </c>
      <c r="F101" s="139">
        <v>0</v>
      </c>
      <c r="G101" s="139" t="s">
        <v>1</v>
      </c>
      <c r="K101" s="6"/>
      <c r="M101" s="6"/>
      <c r="O101" s="6"/>
    </row>
    <row r="102" spans="1:15" s="137" customFormat="1" x14ac:dyDescent="0.25">
      <c r="A102" s="1" t="s">
        <v>611</v>
      </c>
      <c r="B102" s="138" t="s">
        <v>144</v>
      </c>
      <c r="C102" s="138" t="s">
        <v>328</v>
      </c>
      <c r="D102" s="4">
        <f t="shared" si="20"/>
        <v>47</v>
      </c>
      <c r="E102" s="139" t="s">
        <v>1</v>
      </c>
      <c r="F102" s="139">
        <v>0</v>
      </c>
      <c r="G102" s="139" t="s">
        <v>1</v>
      </c>
      <c r="K102" s="6"/>
      <c r="M102" s="6"/>
      <c r="O102" s="6"/>
    </row>
    <row r="103" spans="1:15" s="137" customFormat="1" x14ac:dyDescent="0.25">
      <c r="A103" s="1" t="s">
        <v>612</v>
      </c>
      <c r="B103" s="138" t="s">
        <v>144</v>
      </c>
      <c r="C103" s="138" t="s">
        <v>329</v>
      </c>
      <c r="D103" s="4">
        <f t="shared" si="20"/>
        <v>39</v>
      </c>
      <c r="E103" s="139" t="s">
        <v>1</v>
      </c>
      <c r="F103" s="139">
        <v>0</v>
      </c>
      <c r="G103" s="139" t="s">
        <v>1</v>
      </c>
      <c r="K103" s="6"/>
      <c r="M103" s="6"/>
      <c r="O103" s="6"/>
    </row>
    <row r="104" spans="1:15" s="137" customFormat="1" x14ac:dyDescent="0.25">
      <c r="A104" s="1" t="s">
        <v>613</v>
      </c>
      <c r="B104" s="138" t="s">
        <v>144</v>
      </c>
      <c r="C104" s="138" t="s">
        <v>330</v>
      </c>
      <c r="D104" s="4">
        <f t="shared" si="20"/>
        <v>44</v>
      </c>
      <c r="E104" s="139" t="s">
        <v>1</v>
      </c>
      <c r="F104" s="139">
        <v>0</v>
      </c>
      <c r="G104" s="139" t="s">
        <v>1</v>
      </c>
      <c r="K104" s="6"/>
      <c r="M104" s="6"/>
      <c r="O104" s="6"/>
    </row>
    <row r="105" spans="1:15" s="137" customFormat="1" x14ac:dyDescent="0.25">
      <c r="A105" s="1" t="s">
        <v>614</v>
      </c>
      <c r="B105" s="138" t="s">
        <v>144</v>
      </c>
      <c r="C105" s="138" t="s">
        <v>331</v>
      </c>
      <c r="D105" s="4">
        <f t="shared" si="20"/>
        <v>48</v>
      </c>
      <c r="E105" s="139" t="s">
        <v>1</v>
      </c>
      <c r="F105" s="139">
        <v>0</v>
      </c>
      <c r="G105" s="139" t="s">
        <v>1</v>
      </c>
      <c r="K105" s="6"/>
      <c r="M105" s="6"/>
      <c r="O105" s="6"/>
    </row>
    <row r="106" spans="1:15" s="137" customFormat="1" x14ac:dyDescent="0.25">
      <c r="A106" s="1" t="s">
        <v>615</v>
      </c>
      <c r="B106" s="138" t="s">
        <v>144</v>
      </c>
      <c r="C106" s="138" t="s">
        <v>332</v>
      </c>
      <c r="D106" s="4">
        <f t="shared" si="20"/>
        <v>49</v>
      </c>
      <c r="E106" s="139" t="s">
        <v>1</v>
      </c>
      <c r="F106" s="139">
        <v>0</v>
      </c>
      <c r="G106" s="139" t="s">
        <v>1</v>
      </c>
      <c r="K106" s="6"/>
      <c r="M106" s="6"/>
      <c r="O106" s="6"/>
    </row>
    <row r="107" spans="1:15" s="131" customFormat="1" x14ac:dyDescent="0.25">
      <c r="A107" s="132" t="s">
        <v>143</v>
      </c>
      <c r="B107" s="132" t="s">
        <v>4</v>
      </c>
      <c r="C107" s="132" t="s">
        <v>5</v>
      </c>
      <c r="D107" s="4">
        <f t="shared" si="20"/>
        <v>7</v>
      </c>
      <c r="E107" s="133" t="s">
        <v>6</v>
      </c>
      <c r="F107" s="133" t="s">
        <v>7</v>
      </c>
      <c r="G107" s="133" t="s">
        <v>31</v>
      </c>
      <c r="H107" s="133" t="s">
        <v>39</v>
      </c>
      <c r="K107" s="6"/>
      <c r="M107" s="6"/>
      <c r="O107" s="6"/>
    </row>
    <row r="108" spans="1:15" s="131" customFormat="1" x14ac:dyDescent="0.25">
      <c r="A108" s="1" t="s">
        <v>298</v>
      </c>
      <c r="B108" s="134" t="s">
        <v>144</v>
      </c>
      <c r="C108" s="134" t="s">
        <v>299</v>
      </c>
      <c r="D108" s="4">
        <f t="shared" si="20"/>
        <v>49</v>
      </c>
      <c r="E108" s="135" t="s">
        <v>1</v>
      </c>
      <c r="F108" s="135">
        <v>0</v>
      </c>
      <c r="G108" s="135" t="s">
        <v>1</v>
      </c>
      <c r="K108" s="6"/>
      <c r="M108" s="6"/>
      <c r="O108" s="6"/>
    </row>
    <row r="109" spans="1:15" s="131" customFormat="1" x14ac:dyDescent="0.25">
      <c r="A109" s="1" t="s">
        <v>300</v>
      </c>
      <c r="B109" s="134" t="s">
        <v>144</v>
      </c>
      <c r="C109" s="134" t="s">
        <v>301</v>
      </c>
      <c r="D109" s="4">
        <f t="shared" si="20"/>
        <v>48</v>
      </c>
      <c r="E109" s="135" t="s">
        <v>1</v>
      </c>
      <c r="F109" s="135">
        <v>0</v>
      </c>
      <c r="G109" s="135" t="s">
        <v>1</v>
      </c>
      <c r="K109" s="6"/>
      <c r="M109" s="6"/>
      <c r="O109" s="6"/>
    </row>
    <row r="110" spans="1:15" s="131" customFormat="1" x14ac:dyDescent="0.25">
      <c r="A110" s="1" t="s">
        <v>302</v>
      </c>
      <c r="B110" s="134" t="s">
        <v>144</v>
      </c>
      <c r="C110" s="134" t="s">
        <v>303</v>
      </c>
      <c r="D110" s="4">
        <f t="shared" si="20"/>
        <v>33</v>
      </c>
      <c r="E110" s="135" t="s">
        <v>1</v>
      </c>
      <c r="F110" s="135">
        <v>0</v>
      </c>
      <c r="G110" s="135" t="s">
        <v>1</v>
      </c>
      <c r="K110" s="6"/>
      <c r="M110" s="6"/>
      <c r="O110" s="6"/>
    </row>
    <row r="111" spans="1:15" s="131" customFormat="1" x14ac:dyDescent="0.25">
      <c r="A111" s="1" t="s">
        <v>616</v>
      </c>
      <c r="B111" s="134" t="s">
        <v>144</v>
      </c>
      <c r="C111" s="134" t="s">
        <v>304</v>
      </c>
      <c r="D111" s="4">
        <f t="shared" si="20"/>
        <v>36</v>
      </c>
      <c r="E111" s="135" t="s">
        <v>1</v>
      </c>
      <c r="F111" s="135">
        <v>0</v>
      </c>
      <c r="G111" s="135" t="s">
        <v>1</v>
      </c>
      <c r="K111" s="6"/>
      <c r="M111" s="6"/>
      <c r="O111" s="6"/>
    </row>
    <row r="112" spans="1:15" s="131" customFormat="1" x14ac:dyDescent="0.25">
      <c r="A112" s="1" t="s">
        <v>617</v>
      </c>
      <c r="B112" s="134" t="s">
        <v>144</v>
      </c>
      <c r="C112" s="134" t="s">
        <v>305</v>
      </c>
      <c r="D112" s="4">
        <f t="shared" si="20"/>
        <v>47</v>
      </c>
      <c r="E112" s="135" t="s">
        <v>1</v>
      </c>
      <c r="F112" s="135">
        <v>0</v>
      </c>
      <c r="G112" s="135" t="s">
        <v>1</v>
      </c>
      <c r="K112" s="6"/>
      <c r="M112" s="6"/>
      <c r="O112" s="6"/>
    </row>
    <row r="113" spans="1:15" s="131" customFormat="1" x14ac:dyDescent="0.25">
      <c r="A113" s="1" t="s">
        <v>618</v>
      </c>
      <c r="B113" s="134" t="s">
        <v>144</v>
      </c>
      <c r="C113" s="134" t="s">
        <v>306</v>
      </c>
      <c r="D113" s="4">
        <f t="shared" si="20"/>
        <v>44</v>
      </c>
      <c r="E113" s="135" t="s">
        <v>1</v>
      </c>
      <c r="F113" s="135">
        <v>0</v>
      </c>
      <c r="G113" s="135" t="s">
        <v>1</v>
      </c>
      <c r="K113" s="6"/>
      <c r="M113" s="6"/>
      <c r="O113" s="6"/>
    </row>
    <row r="114" spans="1:15" s="131" customFormat="1" x14ac:dyDescent="0.25">
      <c r="A114" s="1" t="s">
        <v>619</v>
      </c>
      <c r="B114" s="134" t="s">
        <v>144</v>
      </c>
      <c r="C114" s="134" t="s">
        <v>307</v>
      </c>
      <c r="D114" s="4">
        <f t="shared" si="20"/>
        <v>43</v>
      </c>
      <c r="E114" s="135" t="s">
        <v>1</v>
      </c>
      <c r="F114" s="135">
        <v>0</v>
      </c>
      <c r="G114" s="135" t="s">
        <v>1</v>
      </c>
      <c r="K114" s="6"/>
      <c r="M114" s="6"/>
      <c r="O114" s="6"/>
    </row>
    <row r="115" spans="1:15" s="131" customFormat="1" x14ac:dyDescent="0.25">
      <c r="A115" s="1" t="s">
        <v>620</v>
      </c>
      <c r="B115" s="134" t="s">
        <v>144</v>
      </c>
      <c r="C115" s="134" t="s">
        <v>308</v>
      </c>
      <c r="D115" s="4">
        <f t="shared" si="20"/>
        <v>44</v>
      </c>
      <c r="E115" s="135" t="s">
        <v>1</v>
      </c>
      <c r="F115" s="135">
        <v>0</v>
      </c>
      <c r="G115" s="135" t="s">
        <v>1</v>
      </c>
      <c r="K115" s="6"/>
      <c r="M115" s="6"/>
      <c r="O115" s="6"/>
    </row>
    <row r="116" spans="1:15" s="131" customFormat="1" x14ac:dyDescent="0.25">
      <c r="A116" s="1" t="s">
        <v>621</v>
      </c>
      <c r="B116" s="134" t="s">
        <v>144</v>
      </c>
      <c r="C116" s="134" t="s">
        <v>309</v>
      </c>
      <c r="D116" s="4">
        <f t="shared" si="20"/>
        <v>32</v>
      </c>
      <c r="E116" s="135" t="s">
        <v>1</v>
      </c>
      <c r="F116" s="135">
        <v>0</v>
      </c>
      <c r="G116" s="135" t="s">
        <v>1</v>
      </c>
      <c r="K116" s="6"/>
      <c r="M116" s="6"/>
      <c r="O116" s="6"/>
    </row>
    <row r="117" spans="1:15" s="131" customFormat="1" x14ac:dyDescent="0.25">
      <c r="A117" s="1" t="s">
        <v>622</v>
      </c>
      <c r="B117" s="134" t="s">
        <v>144</v>
      </c>
      <c r="C117" s="134" t="s">
        <v>310</v>
      </c>
      <c r="D117" s="4">
        <f t="shared" si="20"/>
        <v>43</v>
      </c>
      <c r="E117" s="135" t="s">
        <v>1</v>
      </c>
      <c r="F117" s="135">
        <v>0</v>
      </c>
      <c r="G117" s="135" t="s">
        <v>1</v>
      </c>
      <c r="K117" s="6"/>
      <c r="M117" s="6"/>
      <c r="O117" s="6"/>
    </row>
    <row r="118" spans="1:15" x14ac:dyDescent="0.25">
      <c r="A118" s="1" t="s">
        <v>623</v>
      </c>
      <c r="B118" s="134" t="s">
        <v>144</v>
      </c>
      <c r="C118" s="134" t="s">
        <v>311</v>
      </c>
      <c r="D118" s="4">
        <f t="shared" si="20"/>
        <v>42</v>
      </c>
      <c r="E118" s="135" t="s">
        <v>1</v>
      </c>
      <c r="F118" s="135">
        <v>0</v>
      </c>
      <c r="G118" s="135" t="s">
        <v>1</v>
      </c>
    </row>
    <row r="119" spans="1:15" x14ac:dyDescent="0.25">
      <c r="A119" s="1" t="s">
        <v>635</v>
      </c>
      <c r="B119" s="134" t="s">
        <v>144</v>
      </c>
      <c r="C119" s="134" t="s">
        <v>312</v>
      </c>
      <c r="D119" s="4">
        <f t="shared" si="20"/>
        <v>49</v>
      </c>
      <c r="E119" s="135" t="s">
        <v>1</v>
      </c>
      <c r="F119" s="135">
        <v>0</v>
      </c>
      <c r="G119" s="135" t="s">
        <v>1</v>
      </c>
    </row>
    <row r="120" spans="1:15" x14ac:dyDescent="0.25">
      <c r="A120" s="1" t="s">
        <v>624</v>
      </c>
      <c r="B120" s="134" t="s">
        <v>144</v>
      </c>
      <c r="C120" s="134" t="s">
        <v>313</v>
      </c>
      <c r="D120" s="4">
        <f t="shared" si="20"/>
        <v>50</v>
      </c>
      <c r="E120" s="135" t="s">
        <v>1</v>
      </c>
      <c r="F120" s="135">
        <v>0</v>
      </c>
      <c r="G120" s="135" t="s">
        <v>1</v>
      </c>
    </row>
    <row r="121" spans="1:15" x14ac:dyDescent="0.25">
      <c r="A121" s="128" t="s">
        <v>201</v>
      </c>
      <c r="B121" s="128" t="s">
        <v>4</v>
      </c>
      <c r="C121" s="128" t="s">
        <v>5</v>
      </c>
      <c r="D121" s="4">
        <f t="shared" si="20"/>
        <v>7</v>
      </c>
      <c r="E121" s="129" t="s">
        <v>6</v>
      </c>
      <c r="F121" s="129" t="s">
        <v>7</v>
      </c>
      <c r="G121" s="129" t="s">
        <v>31</v>
      </c>
      <c r="H121" s="129" t="s">
        <v>39</v>
      </c>
    </row>
    <row r="122" spans="1:15" x14ac:dyDescent="0.25">
      <c r="A122" s="130" t="s">
        <v>296</v>
      </c>
      <c r="B122" s="130" t="s">
        <v>144</v>
      </c>
      <c r="C122" s="130" t="s">
        <v>297</v>
      </c>
      <c r="D122" s="4">
        <f t="shared" si="20"/>
        <v>31</v>
      </c>
      <c r="E122" s="131" t="s">
        <v>1</v>
      </c>
      <c r="F122" s="131">
        <v>0</v>
      </c>
      <c r="G122" s="131" t="s">
        <v>1</v>
      </c>
    </row>
    <row r="123" spans="1:15" x14ac:dyDescent="0.25">
      <c r="A123" s="145" t="s">
        <v>204</v>
      </c>
      <c r="B123" s="145" t="s">
        <v>4</v>
      </c>
      <c r="C123" s="145" t="s">
        <v>5</v>
      </c>
      <c r="D123" s="4">
        <f t="shared" si="20"/>
        <v>7</v>
      </c>
      <c r="E123" s="145" t="s">
        <v>39</v>
      </c>
    </row>
    <row r="124" spans="1:15" x14ac:dyDescent="0.25">
      <c r="A124" s="146" t="s">
        <v>625</v>
      </c>
      <c r="B124" s="146" t="s">
        <v>144</v>
      </c>
      <c r="C124" s="146" t="s">
        <v>340</v>
      </c>
      <c r="D124" s="4">
        <f t="shared" si="20"/>
        <v>22</v>
      </c>
    </row>
  </sheetData>
  <conditionalFormatting sqref="D59 D54 D7 D9 D11:D26">
    <cfRule type="cellIs" dxfId="95" priority="113" operator="greaterThan">
      <formula>49</formula>
    </cfRule>
  </conditionalFormatting>
  <conditionalFormatting sqref="D60">
    <cfRule type="cellIs" dxfId="94" priority="103" operator="greaterThan">
      <formula>49</formula>
    </cfRule>
  </conditionalFormatting>
  <conditionalFormatting sqref="D3:D5">
    <cfRule type="cellIs" dxfId="93" priority="108" operator="greaterThan">
      <formula>49</formula>
    </cfRule>
  </conditionalFormatting>
  <conditionalFormatting sqref="D61">
    <cfRule type="cellIs" dxfId="92" priority="101" operator="greaterThan">
      <formula>49</formula>
    </cfRule>
  </conditionalFormatting>
  <conditionalFormatting sqref="D41">
    <cfRule type="cellIs" dxfId="91" priority="80" operator="greaterThan">
      <formula>49</formula>
    </cfRule>
  </conditionalFormatting>
  <conditionalFormatting sqref="D27:D30 D32:D36">
    <cfRule type="cellIs" dxfId="90" priority="86" operator="greaterThan">
      <formula>49</formula>
    </cfRule>
  </conditionalFormatting>
  <conditionalFormatting sqref="D31">
    <cfRule type="cellIs" dxfId="89" priority="85" operator="greaterThan">
      <formula>49</formula>
    </cfRule>
  </conditionalFormatting>
  <conditionalFormatting sqref="D37">
    <cfRule type="cellIs" dxfId="88" priority="84" operator="greaterThan">
      <formula>49</formula>
    </cfRule>
  </conditionalFormatting>
  <conditionalFormatting sqref="D38">
    <cfRule type="cellIs" dxfId="87" priority="83" operator="greaterThan">
      <formula>49</formula>
    </cfRule>
  </conditionalFormatting>
  <conditionalFormatting sqref="D39">
    <cfRule type="cellIs" dxfId="86" priority="82" operator="greaterThan">
      <formula>49</formula>
    </cfRule>
  </conditionalFormatting>
  <conditionalFormatting sqref="D40">
    <cfRule type="cellIs" dxfId="85" priority="81" operator="greaterThan">
      <formula>49</formula>
    </cfRule>
  </conditionalFormatting>
  <conditionalFormatting sqref="D42">
    <cfRule type="cellIs" dxfId="84" priority="79" operator="greaterThan">
      <formula>49</formula>
    </cfRule>
  </conditionalFormatting>
  <conditionalFormatting sqref="D43">
    <cfRule type="cellIs" dxfId="83" priority="78" operator="greaterThan">
      <formula>49</formula>
    </cfRule>
  </conditionalFormatting>
  <conditionalFormatting sqref="D55:D58">
    <cfRule type="cellIs" dxfId="82" priority="77" operator="greaterThan">
      <formula>49</formula>
    </cfRule>
  </conditionalFormatting>
  <conditionalFormatting sqref="D62:D66">
    <cfRule type="cellIs" dxfId="81" priority="75" operator="greaterThan">
      <formula>49</formula>
    </cfRule>
  </conditionalFormatting>
  <conditionalFormatting sqref="D67">
    <cfRule type="cellIs" dxfId="80" priority="74" operator="greaterThan">
      <formula>49</formula>
    </cfRule>
  </conditionalFormatting>
  <conditionalFormatting sqref="D68">
    <cfRule type="cellIs" dxfId="79" priority="73" operator="greaterThan">
      <formula>49</formula>
    </cfRule>
  </conditionalFormatting>
  <conditionalFormatting sqref="D69">
    <cfRule type="cellIs" dxfId="78" priority="72" operator="greaterThan">
      <formula>49</formula>
    </cfRule>
  </conditionalFormatting>
  <conditionalFormatting sqref="D70:D71">
    <cfRule type="cellIs" dxfId="77" priority="71" operator="greaterThan">
      <formula>49</formula>
    </cfRule>
  </conditionalFormatting>
  <conditionalFormatting sqref="D72:D124">
    <cfRule type="cellIs" dxfId="76" priority="70" operator="greaterThan">
      <formula>49</formula>
    </cfRule>
  </conditionalFormatting>
  <conditionalFormatting sqref="D45">
    <cfRule type="cellIs" dxfId="75" priority="51" operator="greaterThan">
      <formula>49</formula>
    </cfRule>
  </conditionalFormatting>
  <conditionalFormatting sqref="D44">
    <cfRule type="cellIs" dxfId="74" priority="50" operator="greaterThan">
      <formula>49</formula>
    </cfRule>
  </conditionalFormatting>
  <conditionalFormatting sqref="D46">
    <cfRule type="cellIs" dxfId="73" priority="7" operator="greaterThan">
      <formula>49</formula>
    </cfRule>
  </conditionalFormatting>
  <conditionalFormatting sqref="D47">
    <cfRule type="cellIs" dxfId="72" priority="6" operator="greaterThan">
      <formula>49</formula>
    </cfRule>
  </conditionalFormatting>
  <conditionalFormatting sqref="D48">
    <cfRule type="cellIs" dxfId="71" priority="5" operator="greaterThan">
      <formula>49</formula>
    </cfRule>
  </conditionalFormatting>
  <conditionalFormatting sqref="D49:D53">
    <cfRule type="cellIs" dxfId="70" priority="4" operator="greaterThan">
      <formula>49</formula>
    </cfRule>
  </conditionalFormatting>
  <conditionalFormatting sqref="D8">
    <cfRule type="cellIs" dxfId="69" priority="2" operator="greaterThan">
      <formula>49</formula>
    </cfRule>
  </conditionalFormatting>
  <conditionalFormatting sqref="D10">
    <cfRule type="cellIs" dxfId="68" priority="1" operator="greaterThan">
      <formula>49</formula>
    </cfRule>
  </conditionalFormatting>
  <pageMargins left="0.7" right="0.7" top="0.97222222222222221" bottom="0.75" header="0.3" footer="0.3"/>
  <pageSetup orientation="portrait" r:id="rId1"/>
  <headerFooter>
    <oddHeader>&amp;L&amp;"Times New Roman,Regular"Regional Municipality of Halton  
SCADA Standards Manual Section 6 HMI Programming
Appendix 6A HMI Tag Template&amp;R&amp;"Times New Roman,Regular"SCADA STANDARDS 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55"/>
  <sheetViews>
    <sheetView topLeftCell="A28" zoomScaleNormal="100" workbookViewId="0">
      <selection activeCell="A47" sqref="A47"/>
    </sheetView>
  </sheetViews>
  <sheetFormatPr defaultRowHeight="15" x14ac:dyDescent="0.25"/>
  <cols>
    <col min="1" max="1" width="23.42578125" customWidth="1"/>
    <col min="2" max="2" width="14.5703125" bestFit="1" customWidth="1"/>
    <col min="3" max="3" width="24.7109375" customWidth="1"/>
    <col min="4" max="4" width="5.5703125" style="4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25.140625" bestFit="1" customWidth="1"/>
    <col min="11" max="12" width="18.140625" bestFit="1" customWidth="1"/>
    <col min="13" max="13" width="22.140625" bestFit="1" customWidth="1"/>
    <col min="14" max="14" width="15" bestFit="1" customWidth="1"/>
    <col min="15" max="15" width="45.42578125" bestFit="1" customWidth="1"/>
    <col min="16" max="16" width="15.42578125" bestFit="1" customWidth="1"/>
    <col min="17" max="17" width="22.28515625" bestFit="1" customWidth="1"/>
    <col min="18" max="18" width="16.140625" bestFit="1" customWidth="1"/>
    <col min="19" max="19" width="41.7109375" bestFit="1" customWidth="1"/>
    <col min="20" max="20" width="19.140625" bestFit="1" customWidth="1"/>
    <col min="21" max="21" width="15.855468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13.85546875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20.5703125" bestFit="1" customWidth="1"/>
    <col min="47" max="47" width="18.140625" bestFit="1" customWidth="1"/>
    <col min="48" max="48" width="34.85546875" bestFit="1" customWidth="1"/>
    <col min="49" max="49" width="14.855468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140625" bestFit="1" customWidth="1"/>
    <col min="54" max="55" width="19.140625" bestFit="1" customWidth="1"/>
    <col min="56" max="56" width="15.855468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140625" bestFit="1" customWidth="1"/>
    <col min="61" max="62" width="19.140625" bestFit="1" customWidth="1"/>
    <col min="63" max="63" width="15.85546875" bestFit="1" customWidth="1"/>
    <col min="64" max="64" width="13.28515625" bestFit="1" customWidth="1"/>
  </cols>
  <sheetData>
    <row r="1" spans="1:23" x14ac:dyDescent="0.25">
      <c r="A1" t="s">
        <v>130</v>
      </c>
      <c r="D1"/>
    </row>
    <row r="2" spans="1:23" x14ac:dyDescent="0.25">
      <c r="A2" t="s">
        <v>3</v>
      </c>
      <c r="B2" t="s">
        <v>4</v>
      </c>
      <c r="C2" t="s">
        <v>5</v>
      </c>
      <c r="D2" s="5" t="s">
        <v>119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t="s">
        <v>14</v>
      </c>
      <c r="N2" t="s">
        <v>15</v>
      </c>
      <c r="O2" t="s">
        <v>16</v>
      </c>
      <c r="P2" t="s">
        <v>17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  <c r="V2" t="s">
        <v>23</v>
      </c>
    </row>
    <row r="3" spans="1:23" x14ac:dyDescent="0.25">
      <c r="A3" s="2" t="s">
        <v>537</v>
      </c>
      <c r="B3" s="2" t="s">
        <v>132</v>
      </c>
      <c r="C3" s="2" t="s">
        <v>134</v>
      </c>
      <c r="D3" s="4">
        <f>LEN(C3)</f>
        <v>10</v>
      </c>
      <c r="E3" t="s">
        <v>0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2" t="s">
        <v>25</v>
      </c>
      <c r="B4" s="2" t="s">
        <v>116</v>
      </c>
      <c r="C4" s="2" t="s">
        <v>117</v>
      </c>
      <c r="D4" s="4">
        <f>LEN(C4)</f>
        <v>25</v>
      </c>
      <c r="E4" t="s">
        <v>0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x14ac:dyDescent="0.25">
      <c r="A5" s="1" t="s">
        <v>43</v>
      </c>
      <c r="B5" t="s">
        <v>4</v>
      </c>
      <c r="C5" t="s">
        <v>5</v>
      </c>
      <c r="E5" t="s">
        <v>30</v>
      </c>
      <c r="F5" t="s">
        <v>6</v>
      </c>
      <c r="G5" t="s">
        <v>7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44</v>
      </c>
      <c r="O5" t="s">
        <v>45</v>
      </c>
      <c r="P5" t="s">
        <v>46</v>
      </c>
      <c r="Q5" t="s">
        <v>47</v>
      </c>
      <c r="R5" t="s">
        <v>48</v>
      </c>
      <c r="S5" t="s">
        <v>37</v>
      </c>
      <c r="T5" t="s">
        <v>38</v>
      </c>
      <c r="U5" t="s">
        <v>15</v>
      </c>
      <c r="V5" t="s">
        <v>23</v>
      </c>
      <c r="W5" t="s">
        <v>39</v>
      </c>
    </row>
    <row r="6" spans="1:23" x14ac:dyDescent="0.25">
      <c r="A6" s="6" t="str">
        <f>$A$3&amp;"_"&amp;"DI_AD"</f>
        <v>BXX_ATS1_SG1_DI_AD</v>
      </c>
      <c r="B6" s="6" t="str">
        <f>A4</f>
        <v>BXX_DSAB</v>
      </c>
      <c r="C6" s="6" t="str">
        <f>$C$3 &amp; " Disabled Alarm"</f>
        <v>Sample ATS Disabled Alarm</v>
      </c>
      <c r="D6" s="4">
        <f>LEN(C6)</f>
        <v>25</v>
      </c>
      <c r="E6" t="s">
        <v>1</v>
      </c>
      <c r="F6" t="s">
        <v>1</v>
      </c>
      <c r="G6">
        <v>0</v>
      </c>
      <c r="H6" t="s">
        <v>0</v>
      </c>
      <c r="I6" t="s">
        <v>40</v>
      </c>
      <c r="J6" t="s">
        <v>40</v>
      </c>
      <c r="K6" t="s">
        <v>42</v>
      </c>
      <c r="L6" t="s">
        <v>42</v>
      </c>
      <c r="M6" s="2">
        <v>98</v>
      </c>
      <c r="N6" t="s">
        <v>49</v>
      </c>
      <c r="O6" s="2" t="s">
        <v>2</v>
      </c>
      <c r="P6" t="s">
        <v>1</v>
      </c>
      <c r="Q6" s="6" t="str">
        <f>$A$3&amp;".DI_AD"</f>
        <v>BXX_ATS1_SG1.DI_AD</v>
      </c>
      <c r="R6" t="s">
        <v>1</v>
      </c>
      <c r="S6" s="6" t="str">
        <f>C6</f>
        <v>Sample ATS Disabled Alarm</v>
      </c>
      <c r="T6">
        <v>0</v>
      </c>
      <c r="U6">
        <v>0</v>
      </c>
    </row>
    <row r="7" spans="1:23" x14ac:dyDescent="0.25">
      <c r="A7" s="6" t="str">
        <f>$A$3&amp;"_"&amp;"DI_CL"</f>
        <v>BXX_ATS1_SG1_DI_CL</v>
      </c>
      <c r="B7" s="6" t="str">
        <f>$A$3</f>
        <v>BXX_ATS1_SG1</v>
      </c>
      <c r="C7" s="6" t="str">
        <f>$C$3&amp;" Control Mode"</f>
        <v>Sample ATS Control Mode</v>
      </c>
      <c r="D7" s="4">
        <f t="shared" ref="D7:D37" si="0">LEN(C7)</f>
        <v>23</v>
      </c>
      <c r="E7" t="s">
        <v>1</v>
      </c>
      <c r="F7" t="s">
        <v>0</v>
      </c>
      <c r="G7" s="2">
        <v>700</v>
      </c>
      <c r="H7" t="s">
        <v>0</v>
      </c>
      <c r="I7" t="s">
        <v>40</v>
      </c>
      <c r="J7" t="s">
        <v>55</v>
      </c>
      <c r="K7" t="s">
        <v>24</v>
      </c>
      <c r="L7" t="s">
        <v>41</v>
      </c>
      <c r="M7">
        <v>1</v>
      </c>
      <c r="N7" t="s">
        <v>49</v>
      </c>
      <c r="O7" s="6" t="str">
        <f>$O$6</f>
        <v>BXX</v>
      </c>
      <c r="P7" t="s">
        <v>1</v>
      </c>
      <c r="Q7" s="6" t="str">
        <f>$A$3&amp;".DI_CL.eng"</f>
        <v>BXX_ATS1_SG1.DI_CL.eng</v>
      </c>
      <c r="R7" t="s">
        <v>1</v>
      </c>
      <c r="S7" s="6" t="str">
        <f>C7</f>
        <v>Sample ATS Control Mode</v>
      </c>
      <c r="T7">
        <v>0</v>
      </c>
      <c r="U7">
        <v>0</v>
      </c>
    </row>
    <row r="8" spans="1:23" x14ac:dyDescent="0.25">
      <c r="A8" s="6" t="str">
        <f>$A$3&amp;"_"&amp;"DI_JN"</f>
        <v>BXX_ATS1_SG1_DI_JN</v>
      </c>
      <c r="B8" s="6" t="str">
        <f t="shared" ref="B8:B28" si="1">$A$3</f>
        <v>BXX_ATS1_SG1</v>
      </c>
      <c r="C8" s="6" t="str">
        <f>$C$3&amp;" Normal Power"</f>
        <v>Sample ATS Normal Power</v>
      </c>
      <c r="D8" s="4">
        <f t="shared" si="0"/>
        <v>23</v>
      </c>
      <c r="E8" t="s">
        <v>1</v>
      </c>
      <c r="F8" t="s">
        <v>0</v>
      </c>
      <c r="G8" s="2">
        <v>700</v>
      </c>
      <c r="H8" t="s">
        <v>0</v>
      </c>
      <c r="I8" t="s">
        <v>40</v>
      </c>
      <c r="J8" t="s">
        <v>40</v>
      </c>
      <c r="K8" t="s">
        <v>42</v>
      </c>
      <c r="L8" t="s">
        <v>41</v>
      </c>
      <c r="M8">
        <v>1</v>
      </c>
      <c r="N8" t="s">
        <v>49</v>
      </c>
      <c r="O8" s="6" t="str">
        <f t="shared" ref="O8:O19" si="2">$O$6</f>
        <v>BXX</v>
      </c>
      <c r="P8" t="s">
        <v>1</v>
      </c>
      <c r="Q8" s="6" t="str">
        <f>$A$3&amp;".DI_JN.eng"</f>
        <v>BXX_ATS1_SG1.DI_JN.eng</v>
      </c>
      <c r="R8" t="s">
        <v>1</v>
      </c>
      <c r="S8" s="6" t="str">
        <f t="shared" ref="S8:S28" si="3">C8</f>
        <v>Sample ATS Normal Power</v>
      </c>
      <c r="T8">
        <v>0</v>
      </c>
      <c r="U8">
        <v>0</v>
      </c>
    </row>
    <row r="9" spans="1:23" x14ac:dyDescent="0.25">
      <c r="A9" s="6" t="str">
        <f>$A$3&amp;"_"&amp;"DA_JE"</f>
        <v>BXX_ATS1_SG1_DA_JE</v>
      </c>
      <c r="B9" s="6" t="str">
        <f t="shared" si="1"/>
        <v>BXX_ATS1_SG1</v>
      </c>
      <c r="C9" s="6" t="str">
        <f>$C$3&amp;" On Emergency Power"</f>
        <v>Sample ATS On Emergency Power</v>
      </c>
      <c r="D9" s="4">
        <f t="shared" si="0"/>
        <v>29</v>
      </c>
      <c r="E9" t="s">
        <v>1</v>
      </c>
      <c r="F9" t="s">
        <v>1</v>
      </c>
      <c r="G9">
        <v>0</v>
      </c>
      <c r="H9" t="s">
        <v>0</v>
      </c>
      <c r="I9" t="s">
        <v>40</v>
      </c>
      <c r="J9" t="s">
        <v>50</v>
      </c>
      <c r="K9" t="s">
        <v>51</v>
      </c>
      <c r="L9" t="s">
        <v>42</v>
      </c>
      <c r="M9" s="2">
        <v>63</v>
      </c>
      <c r="N9" t="s">
        <v>49</v>
      </c>
      <c r="O9" s="6" t="str">
        <f t="shared" si="2"/>
        <v>BXX</v>
      </c>
      <c r="P9" t="s">
        <v>1</v>
      </c>
      <c r="Q9" s="6" t="str">
        <f>$A$3&amp;".DA_JE.eng"</f>
        <v>BXX_ATS1_SG1.DA_JE.eng</v>
      </c>
      <c r="R9" t="s">
        <v>1</v>
      </c>
      <c r="S9" s="6" t="str">
        <f t="shared" si="3"/>
        <v>Sample ATS On Emergency Power</v>
      </c>
      <c r="T9">
        <v>0</v>
      </c>
      <c r="U9">
        <v>0</v>
      </c>
    </row>
    <row r="10" spans="1:23" x14ac:dyDescent="0.25">
      <c r="A10" s="6" t="str">
        <f>$A$3&amp;"_"&amp;"PB_AR"</f>
        <v>BXX_ATS1_SG1_PB_AR</v>
      </c>
      <c r="B10" s="6" t="str">
        <f t="shared" si="1"/>
        <v>BXX_ATS1_SG1</v>
      </c>
      <c r="C10" s="6" t="str">
        <f>$C$3&amp;" Alarm Ack"</f>
        <v>Sample ATS Alarm Ack</v>
      </c>
      <c r="D10" s="4">
        <f t="shared" si="0"/>
        <v>20</v>
      </c>
      <c r="E10" t="s">
        <v>1</v>
      </c>
      <c r="F10" t="s">
        <v>0</v>
      </c>
      <c r="G10" s="2">
        <v>600</v>
      </c>
      <c r="H10" t="s">
        <v>0</v>
      </c>
      <c r="I10" t="s">
        <v>40</v>
      </c>
      <c r="J10" t="s">
        <v>50</v>
      </c>
      <c r="K10" t="s">
        <v>56</v>
      </c>
      <c r="L10" t="s">
        <v>41</v>
      </c>
      <c r="M10">
        <v>1</v>
      </c>
      <c r="N10" t="s">
        <v>49</v>
      </c>
      <c r="O10" s="6" t="str">
        <f t="shared" si="2"/>
        <v>BXX</v>
      </c>
      <c r="P10" t="s">
        <v>1</v>
      </c>
      <c r="Q10" s="6" t="str">
        <f>$A$3&amp;".PB_AR"</f>
        <v>BXX_ATS1_SG1.PB_AR</v>
      </c>
      <c r="R10" t="s">
        <v>1</v>
      </c>
      <c r="S10" s="6" t="str">
        <f t="shared" si="3"/>
        <v>Sample ATS Alarm Ack</v>
      </c>
      <c r="T10">
        <v>0</v>
      </c>
      <c r="U10">
        <v>0</v>
      </c>
    </row>
    <row r="11" spans="1:23" x14ac:dyDescent="0.25">
      <c r="A11" s="6" t="str">
        <f>$A$3&amp;"_"&amp;"PB_RT"</f>
        <v>BXX_ATS1_SG1_PB_RT</v>
      </c>
      <c r="B11" s="6" t="str">
        <f t="shared" si="1"/>
        <v>BXX_ATS1_SG1</v>
      </c>
      <c r="C11" s="6" t="str">
        <f>$C$3&amp;" Runtime Reset"</f>
        <v>Sample ATS Runtime Reset</v>
      </c>
      <c r="D11" s="4">
        <f t="shared" si="0"/>
        <v>24</v>
      </c>
      <c r="E11" t="s">
        <v>1</v>
      </c>
      <c r="F11" t="s">
        <v>0</v>
      </c>
      <c r="G11" s="2">
        <v>600</v>
      </c>
      <c r="H11" t="s">
        <v>0</v>
      </c>
      <c r="I11" t="s">
        <v>40</v>
      </c>
      <c r="J11" t="s">
        <v>50</v>
      </c>
      <c r="K11" t="s">
        <v>58</v>
      </c>
      <c r="L11" t="s">
        <v>41</v>
      </c>
      <c r="M11">
        <v>1</v>
      </c>
      <c r="N11" t="s">
        <v>49</v>
      </c>
      <c r="O11" s="6" t="str">
        <f t="shared" si="2"/>
        <v>BXX</v>
      </c>
      <c r="P11" t="s">
        <v>1</v>
      </c>
      <c r="Q11" s="6" t="str">
        <f>$A$3&amp;".PB_RT"</f>
        <v>BXX_ATS1_SG1.PB_RT</v>
      </c>
      <c r="R11" t="s">
        <v>1</v>
      </c>
      <c r="S11" s="6" t="str">
        <f t="shared" si="3"/>
        <v>Sample ATS Runtime Reset</v>
      </c>
      <c r="T11">
        <v>0</v>
      </c>
      <c r="U11">
        <v>0</v>
      </c>
    </row>
    <row r="12" spans="1:23" x14ac:dyDescent="0.25">
      <c r="A12" s="6" t="str">
        <f>$A$3&amp;"_"&amp;"PB_PO"</f>
        <v>BXX_ATS1_SG1_PB_PO</v>
      </c>
      <c r="B12" s="6" t="str">
        <f t="shared" si="1"/>
        <v>BXX_ATS1_SG1</v>
      </c>
      <c r="C12" s="6" t="str">
        <f>$C$3&amp;" Start Test Request"</f>
        <v>Sample ATS Start Test Request</v>
      </c>
      <c r="D12" s="4">
        <f t="shared" si="0"/>
        <v>29</v>
      </c>
      <c r="E12" t="s">
        <v>1</v>
      </c>
      <c r="F12" t="s">
        <v>0</v>
      </c>
      <c r="G12" s="2">
        <v>600</v>
      </c>
      <c r="H12" t="s">
        <v>0</v>
      </c>
      <c r="I12" t="s">
        <v>40</v>
      </c>
      <c r="J12" t="s">
        <v>50</v>
      </c>
      <c r="K12" t="s">
        <v>59</v>
      </c>
      <c r="L12" t="s">
        <v>41</v>
      </c>
      <c r="M12">
        <v>1</v>
      </c>
      <c r="N12" t="s">
        <v>49</v>
      </c>
      <c r="O12" s="6" t="str">
        <f>$O$7</f>
        <v>BXX</v>
      </c>
      <c r="P12" t="s">
        <v>1</v>
      </c>
      <c r="Q12" s="6" t="str">
        <f>$A$3&amp;".PB_PO"</f>
        <v>BXX_ATS1_SG1.PB_PO</v>
      </c>
      <c r="R12" t="s">
        <v>1</v>
      </c>
      <c r="S12" s="6" t="str">
        <f t="shared" si="3"/>
        <v>Sample ATS Start Test Request</v>
      </c>
      <c r="T12">
        <v>0</v>
      </c>
      <c r="U12">
        <v>0</v>
      </c>
    </row>
    <row r="13" spans="1:23" x14ac:dyDescent="0.25">
      <c r="A13" s="6" t="str">
        <f>$A$3&amp;"_"&amp;"PB_PC"</f>
        <v>BXX_ATS1_SG1_PB_PC</v>
      </c>
      <c r="B13" s="6" t="str">
        <f t="shared" si="1"/>
        <v>BXX_ATS1_SG1</v>
      </c>
      <c r="C13" s="6" t="str">
        <f>$C$3&amp;" Stop Test Request"</f>
        <v>Sample ATS Stop Test Request</v>
      </c>
      <c r="D13" s="4">
        <f t="shared" si="0"/>
        <v>28</v>
      </c>
      <c r="E13" t="s">
        <v>1</v>
      </c>
      <c r="F13" t="s">
        <v>0</v>
      </c>
      <c r="G13" s="2">
        <v>600</v>
      </c>
      <c r="H13" t="s">
        <v>0</v>
      </c>
      <c r="I13" t="s">
        <v>40</v>
      </c>
      <c r="J13" t="s">
        <v>50</v>
      </c>
      <c r="K13" t="s">
        <v>60</v>
      </c>
      <c r="L13" t="s">
        <v>41</v>
      </c>
      <c r="M13">
        <v>1</v>
      </c>
      <c r="N13" t="s">
        <v>49</v>
      </c>
      <c r="O13" s="6" t="str">
        <f>$O$7</f>
        <v>BXX</v>
      </c>
      <c r="P13" t="s">
        <v>1</v>
      </c>
      <c r="Q13" s="6" t="str">
        <f>$A$3&amp;".PB_PC"</f>
        <v>BXX_ATS1_SG1.PB_PC</v>
      </c>
      <c r="R13" t="s">
        <v>1</v>
      </c>
      <c r="S13" s="6" t="str">
        <f t="shared" si="3"/>
        <v>Sample ATS Stop Test Request</v>
      </c>
      <c r="T13">
        <v>0</v>
      </c>
      <c r="U13">
        <v>0</v>
      </c>
    </row>
    <row r="14" spans="1:23" x14ac:dyDescent="0.25">
      <c r="A14" s="6" t="str">
        <f>$A$3&amp;"_"&amp;"DA_JR"</f>
        <v>BXX_ATS1_SG1_DA_JR</v>
      </c>
      <c r="B14" s="6" t="str">
        <f t="shared" si="1"/>
        <v>BXX_ATS1_SG1</v>
      </c>
      <c r="C14" s="6" t="str">
        <f>$C$3&amp;" Failed To Transfer"</f>
        <v>Sample ATS Failed To Transfer</v>
      </c>
      <c r="D14" s="4">
        <f t="shared" si="0"/>
        <v>29</v>
      </c>
      <c r="E14" t="s">
        <v>1</v>
      </c>
      <c r="F14" t="s">
        <v>1</v>
      </c>
      <c r="G14">
        <v>0</v>
      </c>
      <c r="H14" t="s">
        <v>0</v>
      </c>
      <c r="I14" t="s">
        <v>40</v>
      </c>
      <c r="J14" t="s">
        <v>50</v>
      </c>
      <c r="K14" t="s">
        <v>51</v>
      </c>
      <c r="L14" t="s">
        <v>42</v>
      </c>
      <c r="M14" s="2">
        <v>51</v>
      </c>
      <c r="N14" t="s">
        <v>49</v>
      </c>
      <c r="O14" s="6" t="str">
        <f t="shared" si="2"/>
        <v>BXX</v>
      </c>
      <c r="P14" t="s">
        <v>1</v>
      </c>
      <c r="Q14" s="6" t="str">
        <f>$A$3&amp;".DA_JR"</f>
        <v>BXX_ATS1_SG1.DA_JR</v>
      </c>
      <c r="R14" t="s">
        <v>1</v>
      </c>
      <c r="S14" s="6" t="str">
        <f t="shared" si="3"/>
        <v>Sample ATS Failed To Transfer</v>
      </c>
      <c r="T14">
        <v>0</v>
      </c>
      <c r="U14">
        <v>0</v>
      </c>
    </row>
    <row r="15" spans="1:23" x14ac:dyDescent="0.25">
      <c r="A15" s="6" t="str">
        <f>$A$3&amp;"_"&amp;"DA_RM"</f>
        <v>BXX_ATS1_SG1_DA_RM</v>
      </c>
      <c r="B15" s="6" t="str">
        <f t="shared" si="1"/>
        <v>BXX_ATS1_SG1</v>
      </c>
      <c r="C15" s="6" t="str">
        <f>$C$3&amp;" Not in Auto"</f>
        <v>Sample ATS Not in Auto</v>
      </c>
      <c r="D15" s="4">
        <f t="shared" si="0"/>
        <v>22</v>
      </c>
      <c r="E15" t="s">
        <v>1</v>
      </c>
      <c r="F15" t="s">
        <v>1</v>
      </c>
      <c r="G15">
        <v>0</v>
      </c>
      <c r="H15" t="s">
        <v>0</v>
      </c>
      <c r="I15" t="s">
        <v>40</v>
      </c>
      <c r="J15" t="s">
        <v>50</v>
      </c>
      <c r="K15" t="s">
        <v>51</v>
      </c>
      <c r="L15" t="s">
        <v>42</v>
      </c>
      <c r="M15" s="2">
        <v>52</v>
      </c>
      <c r="N15" t="s">
        <v>49</v>
      </c>
      <c r="O15" s="6" t="str">
        <f t="shared" si="2"/>
        <v>BXX</v>
      </c>
      <c r="P15" t="s">
        <v>1</v>
      </c>
      <c r="Q15" s="6" t="str">
        <f>$A$3&amp;".DA_RM"</f>
        <v>BXX_ATS1_SG1.DA_RM</v>
      </c>
      <c r="R15" t="s">
        <v>1</v>
      </c>
      <c r="S15" s="6" t="str">
        <f t="shared" si="3"/>
        <v>Sample ATS Not in Auto</v>
      </c>
      <c r="T15">
        <v>0</v>
      </c>
      <c r="U15">
        <v>0</v>
      </c>
    </row>
    <row r="16" spans="1:23" x14ac:dyDescent="0.25">
      <c r="A16" s="6" t="str">
        <f>$A$3&amp;"_"&amp;"PB_JR"</f>
        <v>BXX_ATS1_SG1_PB_JR</v>
      </c>
      <c r="B16" s="6" t="str">
        <f t="shared" si="1"/>
        <v>BXX_ATS1_SG1</v>
      </c>
      <c r="C16" s="6" t="str">
        <f>$C$3&amp;" Failed To Xfer En"</f>
        <v>Sample ATS Failed To Xfer En</v>
      </c>
      <c r="D16" s="4">
        <f t="shared" si="0"/>
        <v>28</v>
      </c>
      <c r="E16" t="s">
        <v>1</v>
      </c>
      <c r="F16" t="s">
        <v>0</v>
      </c>
      <c r="G16" s="2">
        <v>600</v>
      </c>
      <c r="H16" t="s">
        <v>0</v>
      </c>
      <c r="I16" t="s">
        <v>40</v>
      </c>
      <c r="J16" t="s">
        <v>52</v>
      </c>
      <c r="K16" t="s">
        <v>53</v>
      </c>
      <c r="L16" t="s">
        <v>41</v>
      </c>
      <c r="M16" s="1">
        <v>1</v>
      </c>
      <c r="N16" t="s">
        <v>49</v>
      </c>
      <c r="O16" s="6" t="str">
        <f t="shared" si="2"/>
        <v>BXX</v>
      </c>
      <c r="P16" t="s">
        <v>1</v>
      </c>
      <c r="Q16" s="6" t="str">
        <f>$A$3&amp;".PB_JR.RE"</f>
        <v>BXX_ATS1_SG1.PB_JR.RE</v>
      </c>
      <c r="R16" t="s">
        <v>1</v>
      </c>
      <c r="S16" s="6" t="str">
        <f t="shared" si="3"/>
        <v>Sample ATS Failed To Xfer En</v>
      </c>
      <c r="T16">
        <v>0</v>
      </c>
      <c r="U16">
        <v>0</v>
      </c>
    </row>
    <row r="17" spans="1:64" x14ac:dyDescent="0.25">
      <c r="A17" s="6" t="str">
        <f>$A$3&amp;"_"&amp;"PB_RM"</f>
        <v>BXX_ATS1_SG1_PB_RM</v>
      </c>
      <c r="B17" s="6" t="str">
        <f t="shared" si="1"/>
        <v>BXX_ATS1_SG1</v>
      </c>
      <c r="C17" s="6" t="str">
        <f>$C$3&amp;" Not in Auto Alarm En"</f>
        <v>Sample ATS Not in Auto Alarm En</v>
      </c>
      <c r="D17" s="4">
        <f t="shared" si="0"/>
        <v>31</v>
      </c>
      <c r="E17" t="s">
        <v>1</v>
      </c>
      <c r="F17" t="s">
        <v>1</v>
      </c>
      <c r="G17">
        <v>0</v>
      </c>
      <c r="H17" t="s">
        <v>0</v>
      </c>
      <c r="I17" t="s">
        <v>40</v>
      </c>
      <c r="J17" t="s">
        <v>52</v>
      </c>
      <c r="K17" t="s">
        <v>53</v>
      </c>
      <c r="L17" t="s">
        <v>41</v>
      </c>
      <c r="M17" s="220">
        <v>1</v>
      </c>
      <c r="N17" t="s">
        <v>49</v>
      </c>
      <c r="O17" s="6" t="str">
        <f t="shared" si="2"/>
        <v>BXX</v>
      </c>
      <c r="P17" t="s">
        <v>1</v>
      </c>
      <c r="Q17" s="6" t="str">
        <f>$A$3&amp;".PB_RM.RE"</f>
        <v>BXX_ATS1_SG1.PB_RM.RE</v>
      </c>
      <c r="R17" t="s">
        <v>1</v>
      </c>
      <c r="S17" s="6" t="str">
        <f t="shared" si="3"/>
        <v>Sample ATS Not in Auto Alarm En</v>
      </c>
      <c r="T17">
        <v>0</v>
      </c>
      <c r="U17">
        <v>0</v>
      </c>
    </row>
    <row r="18" spans="1:64" x14ac:dyDescent="0.25">
      <c r="A18" s="6" t="str">
        <f>$A$3&amp;"_"&amp;"PB_SM"</f>
        <v>BXX_ATS1_SG1_PB_SM</v>
      </c>
      <c r="B18" s="6" t="str">
        <f t="shared" si="1"/>
        <v>BXX_ATS1_SG1</v>
      </c>
      <c r="C18" s="6" t="str">
        <f>$C$3&amp;" Simulate Alarms PB"</f>
        <v>Sample ATS Simulate Alarms PB</v>
      </c>
      <c r="D18" s="4">
        <f t="shared" si="0"/>
        <v>29</v>
      </c>
      <c r="E18" t="s">
        <v>1</v>
      </c>
      <c r="F18" t="s">
        <v>0</v>
      </c>
      <c r="G18" s="2">
        <v>600</v>
      </c>
      <c r="H18" t="s">
        <v>0</v>
      </c>
      <c r="I18" t="s">
        <v>40</v>
      </c>
      <c r="J18" t="s">
        <v>40</v>
      </c>
      <c r="K18" t="s">
        <v>42</v>
      </c>
      <c r="L18" t="s">
        <v>41</v>
      </c>
      <c r="M18" s="1">
        <v>1</v>
      </c>
      <c r="N18" t="s">
        <v>49</v>
      </c>
      <c r="O18" s="6" t="str">
        <f t="shared" si="2"/>
        <v>BXX</v>
      </c>
      <c r="P18" t="s">
        <v>1</v>
      </c>
      <c r="Q18" s="6" t="str">
        <f>$A$3&amp;".PB_SM"</f>
        <v>BXX_ATS1_SG1.PB_SM</v>
      </c>
      <c r="R18" t="s">
        <v>1</v>
      </c>
      <c r="S18" s="6" t="str">
        <f t="shared" si="3"/>
        <v>Sample ATS Simulate Alarms PB</v>
      </c>
      <c r="T18">
        <v>0</v>
      </c>
      <c r="U18">
        <v>0</v>
      </c>
    </row>
    <row r="19" spans="1:64" x14ac:dyDescent="0.25">
      <c r="A19" s="6" t="str">
        <f>$A$3&amp;"_"&amp;"PB_AE"</f>
        <v>BXX_ATS1_SG1_PB_AE</v>
      </c>
      <c r="B19" s="6" t="str">
        <f t="shared" si="1"/>
        <v>BXX_ATS1_SG1</v>
      </c>
      <c r="C19" s="6" t="str">
        <f>$C$3&amp;" Alarm Enable"</f>
        <v>Sample ATS Alarm Enable</v>
      </c>
      <c r="D19" s="4">
        <f t="shared" si="0"/>
        <v>23</v>
      </c>
      <c r="E19" t="s">
        <v>1</v>
      </c>
      <c r="F19" t="s">
        <v>0</v>
      </c>
      <c r="G19" s="2">
        <v>600</v>
      </c>
      <c r="H19" t="s">
        <v>0</v>
      </c>
      <c r="I19" t="s">
        <v>40</v>
      </c>
      <c r="J19" t="s">
        <v>52</v>
      </c>
      <c r="K19" t="s">
        <v>53</v>
      </c>
      <c r="L19" t="s">
        <v>41</v>
      </c>
      <c r="M19">
        <v>1</v>
      </c>
      <c r="N19" t="s">
        <v>49</v>
      </c>
      <c r="O19" s="6" t="str">
        <f t="shared" si="2"/>
        <v>BXX</v>
      </c>
      <c r="P19" t="s">
        <v>1</v>
      </c>
      <c r="Q19" s="6" t="str">
        <f>$A$3&amp;".PB_AE.RE"</f>
        <v>BXX_ATS1_SG1.PB_AE.RE</v>
      </c>
      <c r="R19" t="s">
        <v>1</v>
      </c>
      <c r="S19" s="6" t="str">
        <f t="shared" si="3"/>
        <v>Sample ATS Alarm Enable</v>
      </c>
      <c r="T19">
        <v>0</v>
      </c>
      <c r="U19">
        <v>0</v>
      </c>
    </row>
    <row r="20" spans="1:64" x14ac:dyDescent="0.25">
      <c r="A20" s="3" t="str">
        <f>$A$3&amp;"_"&amp;"PB_JR_DE"</f>
        <v>BXX_ATS1_SG1_PB_JR_DE</v>
      </c>
      <c r="B20" s="6" t="str">
        <f t="shared" si="1"/>
        <v>BXX_ATS1_SG1</v>
      </c>
      <c r="C20" s="6" t="str">
        <f>$C$3 &amp; " Failed To Xfer Dialer En"</f>
        <v>Sample ATS Failed To Xfer Dialer En</v>
      </c>
      <c r="D20" s="4">
        <f t="shared" si="0"/>
        <v>35</v>
      </c>
      <c r="E20" t="s">
        <v>1</v>
      </c>
      <c r="F20" t="s">
        <v>0</v>
      </c>
      <c r="G20" s="2">
        <v>600</v>
      </c>
      <c r="H20" t="s">
        <v>0</v>
      </c>
      <c r="I20" t="s">
        <v>40</v>
      </c>
      <c r="J20" t="s">
        <v>52</v>
      </c>
      <c r="K20" t="s">
        <v>53</v>
      </c>
      <c r="L20" t="s">
        <v>41</v>
      </c>
      <c r="M20">
        <v>1</v>
      </c>
      <c r="N20" t="s">
        <v>49</v>
      </c>
      <c r="O20" s="6" t="str">
        <f t="shared" ref="O20:O25" si="4">$O$7</f>
        <v>BXX</v>
      </c>
      <c r="P20" t="s">
        <v>1</v>
      </c>
      <c r="Q20" s="6" t="str">
        <f>$A$3&amp;".PB_JR.DE"</f>
        <v>BXX_ATS1_SG1.PB_JR.DE</v>
      </c>
      <c r="R20" t="s">
        <v>1</v>
      </c>
      <c r="S20" s="6" t="str">
        <f t="shared" si="3"/>
        <v>Sample ATS Failed To Xfer Dialer En</v>
      </c>
      <c r="T20">
        <v>0</v>
      </c>
      <c r="U20">
        <v>0</v>
      </c>
    </row>
    <row r="21" spans="1:64" x14ac:dyDescent="0.25">
      <c r="A21" s="3" t="str">
        <f>$A$3&amp;"_"&amp;"PB_RM_DE"</f>
        <v>BXX_ATS1_SG1_PB_RM_DE</v>
      </c>
      <c r="B21" s="6" t="str">
        <f t="shared" si="1"/>
        <v>BXX_ATS1_SG1</v>
      </c>
      <c r="C21" s="6" t="str">
        <f>$C$3 &amp; " Not In Auto Dialer En"</f>
        <v>Sample ATS Not In Auto Dialer En</v>
      </c>
      <c r="D21" s="4">
        <f t="shared" si="0"/>
        <v>32</v>
      </c>
      <c r="E21" t="s">
        <v>1</v>
      </c>
      <c r="F21" t="s">
        <v>0</v>
      </c>
      <c r="G21" s="2">
        <v>600</v>
      </c>
      <c r="H21" t="s">
        <v>0</v>
      </c>
      <c r="I21" t="s">
        <v>40</v>
      </c>
      <c r="J21" t="s">
        <v>52</v>
      </c>
      <c r="K21" t="s">
        <v>53</v>
      </c>
      <c r="L21" t="s">
        <v>41</v>
      </c>
      <c r="M21">
        <v>1</v>
      </c>
      <c r="N21" t="s">
        <v>49</v>
      </c>
      <c r="O21" s="6" t="str">
        <f t="shared" si="4"/>
        <v>BXX</v>
      </c>
      <c r="P21" t="s">
        <v>1</v>
      </c>
      <c r="Q21" s="6" t="str">
        <f>$A$3&amp;".PB_RM.DE"</f>
        <v>BXX_ATS1_SG1.PB_RM.DE</v>
      </c>
      <c r="R21" t="s">
        <v>1</v>
      </c>
      <c r="S21" s="6" t="str">
        <f t="shared" si="3"/>
        <v>Sample ATS Not In Auto Dialer En</v>
      </c>
      <c r="T21">
        <v>0</v>
      </c>
      <c r="U21">
        <v>0</v>
      </c>
    </row>
    <row r="22" spans="1:64" x14ac:dyDescent="0.25">
      <c r="A22" s="3" t="str">
        <f>$A$3&amp;"_"&amp;"PB_AE_DE"</f>
        <v>BXX_ATS1_SG1_PB_AE_DE</v>
      </c>
      <c r="B22" s="6" t="str">
        <f t="shared" si="1"/>
        <v>BXX_ATS1_SG1</v>
      </c>
      <c r="C22" s="6" t="str">
        <f>$C$3 &amp; " Alarms Dialer Enable"</f>
        <v>Sample ATS Alarms Dialer Enable</v>
      </c>
      <c r="D22" s="4">
        <f t="shared" si="0"/>
        <v>31</v>
      </c>
      <c r="E22" t="s">
        <v>1</v>
      </c>
      <c r="F22" t="s">
        <v>0</v>
      </c>
      <c r="G22" s="2">
        <v>600</v>
      </c>
      <c r="H22" t="s">
        <v>0</v>
      </c>
      <c r="I22" t="s">
        <v>40</v>
      </c>
      <c r="J22" t="s">
        <v>52</v>
      </c>
      <c r="K22" t="s">
        <v>53</v>
      </c>
      <c r="L22" t="s">
        <v>41</v>
      </c>
      <c r="M22">
        <v>1</v>
      </c>
      <c r="N22" t="s">
        <v>49</v>
      </c>
      <c r="O22" s="6" t="str">
        <f t="shared" si="4"/>
        <v>BXX</v>
      </c>
      <c r="P22" t="s">
        <v>1</v>
      </c>
      <c r="Q22" s="6" t="str">
        <f>$A$3&amp;".PB_AE.DE"</f>
        <v>BXX_ATS1_SG1.PB_AE.DE</v>
      </c>
      <c r="R22" t="s">
        <v>1</v>
      </c>
      <c r="S22" s="6" t="str">
        <f t="shared" si="3"/>
        <v>Sample ATS Alarms Dialer Enable</v>
      </c>
      <c r="T22">
        <v>0</v>
      </c>
      <c r="U22">
        <v>0</v>
      </c>
    </row>
    <row r="23" spans="1:64" x14ac:dyDescent="0.25">
      <c r="A23" s="3" t="str">
        <f>$A$3&amp;"_"&amp;"PB_JR_SR"</f>
        <v>BXX_ATS1_SG1_PB_JR_SR</v>
      </c>
      <c r="B23" s="6" t="str">
        <f t="shared" si="1"/>
        <v>BXX_ATS1_SG1</v>
      </c>
      <c r="C23" s="6" t="str">
        <f>$C$3 &amp; " Failed To Xfer Sup En"</f>
        <v>Sample ATS Failed To Xfer Sup En</v>
      </c>
      <c r="D23" s="4">
        <f t="shared" si="0"/>
        <v>32</v>
      </c>
      <c r="E23" t="s">
        <v>1</v>
      </c>
      <c r="F23" t="s">
        <v>0</v>
      </c>
      <c r="G23" s="2">
        <v>600</v>
      </c>
      <c r="H23" t="s">
        <v>0</v>
      </c>
      <c r="I23" t="s">
        <v>40</v>
      </c>
      <c r="J23" t="s">
        <v>52</v>
      </c>
      <c r="K23" t="s">
        <v>53</v>
      </c>
      <c r="L23" t="s">
        <v>41</v>
      </c>
      <c r="M23">
        <v>1</v>
      </c>
      <c r="N23" t="s">
        <v>49</v>
      </c>
      <c r="O23" s="6" t="str">
        <f t="shared" si="4"/>
        <v>BXX</v>
      </c>
      <c r="P23" t="s">
        <v>1</v>
      </c>
      <c r="Q23" s="6" t="str">
        <f>$A$3&amp;".PB_JR.SR"</f>
        <v>BXX_ATS1_SG1.PB_JR.SR</v>
      </c>
      <c r="R23" t="s">
        <v>1</v>
      </c>
      <c r="S23" s="6" t="str">
        <f t="shared" si="3"/>
        <v>Sample ATS Failed To Xfer Sup En</v>
      </c>
      <c r="T23">
        <v>0</v>
      </c>
      <c r="U23">
        <v>0</v>
      </c>
    </row>
    <row r="24" spans="1:64" x14ac:dyDescent="0.25">
      <c r="A24" s="3" t="str">
        <f>$A$3&amp;"_"&amp;"PB_RM_SR"</f>
        <v>BXX_ATS1_SG1_PB_RM_SR</v>
      </c>
      <c r="B24" s="6" t="str">
        <f t="shared" si="1"/>
        <v>BXX_ATS1_SG1</v>
      </c>
      <c r="C24" s="6" t="str">
        <f>$C$3 &amp; " Not In Auto Sup En"</f>
        <v>Sample ATS Not In Auto Sup En</v>
      </c>
      <c r="D24" s="4">
        <f t="shared" si="0"/>
        <v>29</v>
      </c>
      <c r="E24" t="s">
        <v>1</v>
      </c>
      <c r="F24" t="s">
        <v>0</v>
      </c>
      <c r="G24" s="2">
        <v>600</v>
      </c>
      <c r="H24" t="s">
        <v>0</v>
      </c>
      <c r="I24" t="s">
        <v>40</v>
      </c>
      <c r="J24" t="s">
        <v>52</v>
      </c>
      <c r="K24" t="s">
        <v>53</v>
      </c>
      <c r="L24" t="s">
        <v>41</v>
      </c>
      <c r="M24">
        <v>1</v>
      </c>
      <c r="N24" t="s">
        <v>49</v>
      </c>
      <c r="O24" s="6" t="str">
        <f t="shared" si="4"/>
        <v>BXX</v>
      </c>
      <c r="P24" t="s">
        <v>1</v>
      </c>
      <c r="Q24" s="6" t="str">
        <f>$A$3&amp;".PB_RM.SR"</f>
        <v>BXX_ATS1_SG1.PB_RM.SR</v>
      </c>
      <c r="R24" t="s">
        <v>1</v>
      </c>
      <c r="S24" s="6" t="str">
        <f t="shared" si="3"/>
        <v>Sample ATS Not In Auto Sup En</v>
      </c>
      <c r="T24">
        <v>0</v>
      </c>
      <c r="U24">
        <v>0</v>
      </c>
    </row>
    <row r="25" spans="1:64" x14ac:dyDescent="0.25">
      <c r="A25" s="3" t="str">
        <f>$A$3&amp;"_"&amp;"PB_AE_SR"</f>
        <v>BXX_ATS1_SG1_PB_AE_SR</v>
      </c>
      <c r="B25" s="6" t="str">
        <f t="shared" si="1"/>
        <v>BXX_ATS1_SG1</v>
      </c>
      <c r="C25" s="6" t="str">
        <f>$C$3 &amp; " Alarms Sup Enable"</f>
        <v>Sample ATS Alarms Sup Enable</v>
      </c>
      <c r="D25" s="4">
        <f t="shared" si="0"/>
        <v>28</v>
      </c>
      <c r="E25" t="s">
        <v>1</v>
      </c>
      <c r="F25" t="s">
        <v>0</v>
      </c>
      <c r="G25" s="2">
        <v>600</v>
      </c>
      <c r="H25" t="s">
        <v>0</v>
      </c>
      <c r="I25" t="s">
        <v>40</v>
      </c>
      <c r="J25" t="s">
        <v>52</v>
      </c>
      <c r="K25" t="s">
        <v>53</v>
      </c>
      <c r="L25" t="s">
        <v>41</v>
      </c>
      <c r="M25">
        <v>1</v>
      </c>
      <c r="N25" t="s">
        <v>49</v>
      </c>
      <c r="O25" s="6" t="str">
        <f t="shared" si="4"/>
        <v>BXX</v>
      </c>
      <c r="P25" t="s">
        <v>1</v>
      </c>
      <c r="Q25" s="6" t="str">
        <f>$A$3&amp;".PB_AE.SR"</f>
        <v>BXX_ATS1_SG1.PB_AE.SR</v>
      </c>
      <c r="R25" t="s">
        <v>1</v>
      </c>
      <c r="S25" s="6" t="str">
        <f t="shared" si="3"/>
        <v>Sample ATS Alarms Sup Enable</v>
      </c>
      <c r="T25">
        <v>0</v>
      </c>
      <c r="U25">
        <v>0</v>
      </c>
    </row>
    <row r="26" spans="1:64" x14ac:dyDescent="0.25">
      <c r="A26" s="6" t="str">
        <f>$A$3&amp;"_"&amp;"PB_JE_RE"</f>
        <v>BXX_ATS1_SG1_PB_JE_RE</v>
      </c>
      <c r="B26" s="6" t="str">
        <f t="shared" si="1"/>
        <v>BXX_ATS1_SG1</v>
      </c>
      <c r="C26" s="6" t="str">
        <f>$C$3&amp;" On Emergency Power Enable"</f>
        <v>Sample ATS On Emergency Power Enable</v>
      </c>
      <c r="D26" s="4">
        <f t="shared" si="0"/>
        <v>36</v>
      </c>
      <c r="E26" t="s">
        <v>1</v>
      </c>
      <c r="F26" t="s">
        <v>0</v>
      </c>
      <c r="G26" s="2">
        <v>600</v>
      </c>
      <c r="H26" t="s">
        <v>0</v>
      </c>
      <c r="I26" t="s">
        <v>40</v>
      </c>
      <c r="J26" t="s">
        <v>52</v>
      </c>
      <c r="K26" t="s">
        <v>53</v>
      </c>
      <c r="L26" t="s">
        <v>41</v>
      </c>
      <c r="M26">
        <v>1</v>
      </c>
      <c r="N26" t="s">
        <v>49</v>
      </c>
      <c r="O26" s="6" t="str">
        <f>$O$6</f>
        <v>BXX</v>
      </c>
      <c r="P26" t="s">
        <v>1</v>
      </c>
      <c r="Q26" s="6" t="str">
        <f>$A$3&amp;".DA_JE.RE"</f>
        <v>BXX_ATS1_SG1.DA_JE.RE</v>
      </c>
      <c r="R26" t="s">
        <v>1</v>
      </c>
      <c r="S26" s="6" t="str">
        <f t="shared" si="3"/>
        <v>Sample ATS On Emergency Power Enable</v>
      </c>
      <c r="T26">
        <v>0</v>
      </c>
      <c r="U26">
        <v>0</v>
      </c>
    </row>
    <row r="27" spans="1:64" x14ac:dyDescent="0.25">
      <c r="A27" s="3" t="str">
        <f>$A$3&amp;"_"&amp;"PB_JE_DE"</f>
        <v>BXX_ATS1_SG1_PB_JE_DE</v>
      </c>
      <c r="B27" s="6" t="str">
        <f t="shared" si="1"/>
        <v>BXX_ATS1_SG1</v>
      </c>
      <c r="C27" s="6" t="str">
        <f>$C$3&amp;" On Emergency Power Dialer Enable"</f>
        <v>Sample ATS On Emergency Power Dialer Enable</v>
      </c>
      <c r="D27" s="4">
        <f t="shared" si="0"/>
        <v>43</v>
      </c>
      <c r="E27" t="s">
        <v>1</v>
      </c>
      <c r="F27" t="s">
        <v>0</v>
      </c>
      <c r="G27" s="2">
        <v>600</v>
      </c>
      <c r="H27" t="s">
        <v>0</v>
      </c>
      <c r="I27" t="s">
        <v>40</v>
      </c>
      <c r="J27" t="s">
        <v>52</v>
      </c>
      <c r="K27" t="s">
        <v>53</v>
      </c>
      <c r="L27" t="s">
        <v>41</v>
      </c>
      <c r="M27">
        <v>1</v>
      </c>
      <c r="N27" t="s">
        <v>49</v>
      </c>
      <c r="O27" s="6" t="str">
        <f>$O$6</f>
        <v>BXX</v>
      </c>
      <c r="P27" t="s">
        <v>1</v>
      </c>
      <c r="Q27" s="6" t="str">
        <f>$A$3&amp;".DA_JE.DE"</f>
        <v>BXX_ATS1_SG1.DA_JE.DE</v>
      </c>
      <c r="R27" t="s">
        <v>1</v>
      </c>
      <c r="S27" s="6" t="str">
        <f t="shared" si="3"/>
        <v>Sample ATS On Emergency Power Dialer Enable</v>
      </c>
      <c r="T27">
        <v>0</v>
      </c>
      <c r="U27">
        <v>0</v>
      </c>
    </row>
    <row r="28" spans="1:64" x14ac:dyDescent="0.25">
      <c r="A28" s="3" t="str">
        <f>$A$3&amp;"_"&amp;"PB_JE_SR"</f>
        <v>BXX_ATS1_SG1_PB_JE_SR</v>
      </c>
      <c r="B28" s="6" t="str">
        <f t="shared" si="1"/>
        <v>BXX_ATS1_SG1</v>
      </c>
      <c r="C28" s="6" t="str">
        <f>$C$3&amp;" On Emerg Power Sup Enable"</f>
        <v>Sample ATS On Emerg Power Sup Enable</v>
      </c>
      <c r="D28" s="4">
        <f t="shared" si="0"/>
        <v>36</v>
      </c>
      <c r="E28" t="s">
        <v>1</v>
      </c>
      <c r="F28" t="s">
        <v>0</v>
      </c>
      <c r="G28" s="2">
        <v>600</v>
      </c>
      <c r="H28" t="s">
        <v>0</v>
      </c>
      <c r="I28" t="s">
        <v>40</v>
      </c>
      <c r="J28" t="s">
        <v>52</v>
      </c>
      <c r="K28" t="s">
        <v>53</v>
      </c>
      <c r="L28" t="s">
        <v>41</v>
      </c>
      <c r="M28">
        <v>1</v>
      </c>
      <c r="N28" t="s">
        <v>49</v>
      </c>
      <c r="O28" s="6" t="str">
        <f>$O$6</f>
        <v>BXX</v>
      </c>
      <c r="P28" t="s">
        <v>1</v>
      </c>
      <c r="Q28" s="6" t="str">
        <f>$A$3&amp;".DA_JE.SR"</f>
        <v>BXX_ATS1_SG1.DA_JE.SR</v>
      </c>
      <c r="R28" t="s">
        <v>1</v>
      </c>
      <c r="S28" s="6" t="str">
        <f t="shared" si="3"/>
        <v>Sample ATS On Emerg Power Sup Enable</v>
      </c>
      <c r="T28">
        <v>0</v>
      </c>
      <c r="U28">
        <v>0</v>
      </c>
    </row>
    <row r="29" spans="1:64" x14ac:dyDescent="0.25">
      <c r="A29" s="1" t="s">
        <v>100</v>
      </c>
      <c r="B29" t="s">
        <v>4</v>
      </c>
      <c r="C29" t="s">
        <v>5</v>
      </c>
      <c r="D29" s="4">
        <f t="shared" si="0"/>
        <v>7</v>
      </c>
      <c r="E29" t="s">
        <v>30</v>
      </c>
      <c r="F29" t="s">
        <v>6</v>
      </c>
      <c r="G29" t="s">
        <v>7</v>
      </c>
      <c r="H29" t="s">
        <v>31</v>
      </c>
      <c r="I29" t="s">
        <v>66</v>
      </c>
      <c r="J29" t="s">
        <v>67</v>
      </c>
      <c r="K29" t="s">
        <v>68</v>
      </c>
      <c r="L29" t="s">
        <v>69</v>
      </c>
      <c r="M29" t="s">
        <v>70</v>
      </c>
      <c r="N29" t="s">
        <v>101</v>
      </c>
      <c r="O29" t="s">
        <v>102</v>
      </c>
      <c r="P29" t="s">
        <v>73</v>
      </c>
      <c r="Q29" t="s">
        <v>74</v>
      </c>
      <c r="R29" t="s">
        <v>75</v>
      </c>
      <c r="S29" t="s">
        <v>76</v>
      </c>
      <c r="T29" t="s">
        <v>77</v>
      </c>
      <c r="U29" t="s">
        <v>78</v>
      </c>
      <c r="V29" t="s">
        <v>79</v>
      </c>
      <c r="W29" t="s">
        <v>80</v>
      </c>
      <c r="X29" t="s">
        <v>81</v>
      </c>
      <c r="Y29" t="s">
        <v>82</v>
      </c>
      <c r="Z29" t="s">
        <v>83</v>
      </c>
      <c r="AA29" t="s">
        <v>84</v>
      </c>
      <c r="AB29" t="s">
        <v>85</v>
      </c>
      <c r="AC29" t="s">
        <v>86</v>
      </c>
      <c r="AD29" t="s">
        <v>87</v>
      </c>
      <c r="AE29" t="s">
        <v>88</v>
      </c>
      <c r="AF29" t="s">
        <v>89</v>
      </c>
      <c r="AG29" t="s">
        <v>90</v>
      </c>
      <c r="AH29" t="s">
        <v>91</v>
      </c>
      <c r="AI29" t="s">
        <v>92</v>
      </c>
      <c r="AJ29" t="s">
        <v>93</v>
      </c>
      <c r="AK29" t="s">
        <v>94</v>
      </c>
      <c r="AL29" t="s">
        <v>95</v>
      </c>
      <c r="AM29" t="s">
        <v>96</v>
      </c>
      <c r="AN29" t="s">
        <v>97</v>
      </c>
      <c r="AO29" t="s">
        <v>103</v>
      </c>
      <c r="AP29" t="s">
        <v>104</v>
      </c>
      <c r="AQ29" t="s">
        <v>105</v>
      </c>
      <c r="AR29" t="s">
        <v>45</v>
      </c>
      <c r="AS29" t="s">
        <v>46</v>
      </c>
      <c r="AT29" t="s">
        <v>47</v>
      </c>
      <c r="AU29" t="s">
        <v>48</v>
      </c>
      <c r="AV29" t="s">
        <v>37</v>
      </c>
      <c r="AW29" t="s">
        <v>38</v>
      </c>
      <c r="AX29" t="s">
        <v>8</v>
      </c>
      <c r="AY29" t="s">
        <v>9</v>
      </c>
      <c r="AZ29" t="s">
        <v>10</v>
      </c>
      <c r="BA29" t="s">
        <v>11</v>
      </c>
      <c r="BB29" t="s">
        <v>12</v>
      </c>
      <c r="BC29" t="s">
        <v>13</v>
      </c>
      <c r="BD29" t="s">
        <v>14</v>
      </c>
      <c r="BE29" t="s">
        <v>16</v>
      </c>
      <c r="BF29" t="s">
        <v>17</v>
      </c>
      <c r="BG29" t="s">
        <v>18</v>
      </c>
      <c r="BH29" t="s">
        <v>19</v>
      </c>
      <c r="BI29" t="s">
        <v>20</v>
      </c>
      <c r="BJ29" t="s">
        <v>21</v>
      </c>
      <c r="BK29" t="s">
        <v>22</v>
      </c>
      <c r="BL29" t="s">
        <v>39</v>
      </c>
    </row>
    <row r="30" spans="1:64" x14ac:dyDescent="0.25">
      <c r="A30" s="3" t="str">
        <f>$A$3&amp;"_"&amp;"AI_TD"</f>
        <v>BXX_ATS1_SG1_AI_TD</v>
      </c>
      <c r="B30" s="6" t="str">
        <f>$A$3</f>
        <v>BXX_ATS1_SG1</v>
      </c>
      <c r="C30" s="6" t="str">
        <f>$C$3&amp;" Transfers Today"</f>
        <v>Sample ATS Transfers Today</v>
      </c>
      <c r="D30" s="4">
        <f t="shared" si="0"/>
        <v>26</v>
      </c>
      <c r="E30" t="s">
        <v>1</v>
      </c>
      <c r="F30" t="s">
        <v>1</v>
      </c>
      <c r="G30">
        <v>0</v>
      </c>
      <c r="H30" t="s">
        <v>0</v>
      </c>
      <c r="I30" t="s">
        <v>1</v>
      </c>
      <c r="J30">
        <v>0</v>
      </c>
      <c r="K30">
        <v>0</v>
      </c>
      <c r="L30" t="s">
        <v>129</v>
      </c>
      <c r="M30">
        <v>0</v>
      </c>
      <c r="N30">
        <v>0</v>
      </c>
      <c r="O30">
        <v>1000000</v>
      </c>
      <c r="P30">
        <v>0</v>
      </c>
      <c r="Q30">
        <v>0</v>
      </c>
      <c r="R30" t="s">
        <v>40</v>
      </c>
      <c r="S30">
        <v>0</v>
      </c>
      <c r="T30">
        <v>1</v>
      </c>
      <c r="U30" t="s">
        <v>40</v>
      </c>
      <c r="V30">
        <v>0</v>
      </c>
      <c r="W30">
        <v>1</v>
      </c>
      <c r="X30" t="s">
        <v>40</v>
      </c>
      <c r="Y30">
        <v>0</v>
      </c>
      <c r="Z30">
        <v>1</v>
      </c>
      <c r="AA30" t="s">
        <v>40</v>
      </c>
      <c r="AB30">
        <v>0</v>
      </c>
      <c r="AC30">
        <v>1</v>
      </c>
      <c r="AD30" t="s">
        <v>40</v>
      </c>
      <c r="AE30">
        <v>0</v>
      </c>
      <c r="AF30">
        <v>1</v>
      </c>
      <c r="AG30" t="s">
        <v>40</v>
      </c>
      <c r="AH30">
        <v>0</v>
      </c>
      <c r="AI30">
        <v>1</v>
      </c>
      <c r="AJ30">
        <v>0</v>
      </c>
      <c r="AK30" t="s">
        <v>40</v>
      </c>
      <c r="AL30">
        <v>0</v>
      </c>
      <c r="AM30">
        <v>1</v>
      </c>
      <c r="AN30" t="s">
        <v>98</v>
      </c>
      <c r="AO30">
        <v>0</v>
      </c>
      <c r="AP30">
        <v>1000000</v>
      </c>
      <c r="AQ30" t="s">
        <v>106</v>
      </c>
      <c r="AR30" s="6" t="str">
        <f>$O$6</f>
        <v>BXX</v>
      </c>
      <c r="AS30" t="s">
        <v>1</v>
      </c>
      <c r="AT30" s="6" t="str">
        <f>$A$3&amp;".AI_TD"</f>
        <v>BXX_ATS1_SG1.AI_TD</v>
      </c>
      <c r="AU30" t="s">
        <v>1</v>
      </c>
      <c r="AV30" s="6" t="str">
        <f>C30</f>
        <v>Sample ATS Transfers Today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</row>
    <row r="31" spans="1:64" x14ac:dyDescent="0.25">
      <c r="A31" s="3" t="str">
        <f>$A$3&amp;"_"&amp;"AI_MT"</f>
        <v>BXX_ATS1_SG1_AI_MT</v>
      </c>
      <c r="B31" s="6" t="str">
        <f>$A$3</f>
        <v>BXX_ATS1_SG1</v>
      </c>
      <c r="C31" s="6" t="str">
        <f>$C$3&amp;" Transfers This Month"</f>
        <v>Sample ATS Transfers This Month</v>
      </c>
      <c r="D31" s="4">
        <f t="shared" si="0"/>
        <v>31</v>
      </c>
      <c r="E31" t="s">
        <v>1</v>
      </c>
      <c r="F31" t="s">
        <v>1</v>
      </c>
      <c r="G31">
        <v>0</v>
      </c>
      <c r="H31" t="s">
        <v>0</v>
      </c>
      <c r="I31" t="s">
        <v>1</v>
      </c>
      <c r="J31">
        <v>0</v>
      </c>
      <c r="K31">
        <v>0</v>
      </c>
      <c r="L31" t="s">
        <v>129</v>
      </c>
      <c r="M31">
        <v>0</v>
      </c>
      <c r="N31">
        <v>0</v>
      </c>
      <c r="O31">
        <v>1000000</v>
      </c>
      <c r="P31">
        <v>0</v>
      </c>
      <c r="Q31">
        <v>0</v>
      </c>
      <c r="R31" t="s">
        <v>40</v>
      </c>
      <c r="S31">
        <v>0</v>
      </c>
      <c r="T31">
        <v>1</v>
      </c>
      <c r="U31" t="s">
        <v>40</v>
      </c>
      <c r="V31">
        <v>0</v>
      </c>
      <c r="W31">
        <v>1</v>
      </c>
      <c r="X31" t="s">
        <v>40</v>
      </c>
      <c r="Y31">
        <v>0</v>
      </c>
      <c r="Z31">
        <v>1</v>
      </c>
      <c r="AA31" t="s">
        <v>40</v>
      </c>
      <c r="AB31">
        <v>0</v>
      </c>
      <c r="AC31">
        <v>1</v>
      </c>
      <c r="AD31" t="s">
        <v>40</v>
      </c>
      <c r="AE31">
        <v>0</v>
      </c>
      <c r="AF31">
        <v>1</v>
      </c>
      <c r="AG31" t="s">
        <v>40</v>
      </c>
      <c r="AH31">
        <v>0</v>
      </c>
      <c r="AI31">
        <v>1</v>
      </c>
      <c r="AJ31">
        <v>0</v>
      </c>
      <c r="AK31" t="s">
        <v>40</v>
      </c>
      <c r="AL31">
        <v>0</v>
      </c>
      <c r="AM31">
        <v>1</v>
      </c>
      <c r="AN31" t="s">
        <v>98</v>
      </c>
      <c r="AO31">
        <v>0</v>
      </c>
      <c r="AP31">
        <v>1000000</v>
      </c>
      <c r="AQ31" t="s">
        <v>106</v>
      </c>
      <c r="AR31" s="6" t="str">
        <f>$O$6</f>
        <v>BXX</v>
      </c>
      <c r="AS31" t="s">
        <v>1</v>
      </c>
      <c r="AT31" s="6" t="str">
        <f>$A$3&amp;".AI_MT"</f>
        <v>BXX_ATS1_SG1.AI_MT</v>
      </c>
      <c r="AU31" t="s">
        <v>1</v>
      </c>
      <c r="AV31" s="6" t="str">
        <f>C31</f>
        <v>Sample ATS Transfers This Month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</row>
    <row r="32" spans="1:64" x14ac:dyDescent="0.25">
      <c r="A32" s="3" t="str">
        <f>$A$3&amp;"_"&amp;"AI_MX"</f>
        <v>BXX_ATS1_SG1_AI_MX</v>
      </c>
      <c r="B32" s="6" t="str">
        <f>$A$3</f>
        <v>BXX_ATS1_SG1</v>
      </c>
      <c r="C32" s="6" t="str">
        <f>$C$3&amp;" Total Transfers"</f>
        <v>Sample ATS Total Transfers</v>
      </c>
      <c r="D32" s="4">
        <f t="shared" si="0"/>
        <v>26</v>
      </c>
      <c r="E32" t="s">
        <v>0</v>
      </c>
      <c r="F32" t="s">
        <v>1</v>
      </c>
      <c r="G32">
        <v>0</v>
      </c>
      <c r="H32" t="s">
        <v>0</v>
      </c>
      <c r="I32" t="s">
        <v>1</v>
      </c>
      <c r="J32">
        <v>0</v>
      </c>
      <c r="K32">
        <v>0</v>
      </c>
      <c r="L32" t="s">
        <v>129</v>
      </c>
      <c r="M32">
        <v>0</v>
      </c>
      <c r="N32">
        <v>0</v>
      </c>
      <c r="O32">
        <v>1000000</v>
      </c>
      <c r="P32">
        <v>0</v>
      </c>
      <c r="Q32">
        <v>1</v>
      </c>
      <c r="R32" t="s">
        <v>40</v>
      </c>
      <c r="S32">
        <v>0</v>
      </c>
      <c r="T32">
        <v>1</v>
      </c>
      <c r="U32" t="s">
        <v>40</v>
      </c>
      <c r="V32">
        <v>0</v>
      </c>
      <c r="W32">
        <v>1</v>
      </c>
      <c r="X32" t="s">
        <v>40</v>
      </c>
      <c r="Y32">
        <v>0</v>
      </c>
      <c r="Z32">
        <v>1</v>
      </c>
      <c r="AA32" t="s">
        <v>40</v>
      </c>
      <c r="AB32">
        <v>0</v>
      </c>
      <c r="AC32">
        <v>1</v>
      </c>
      <c r="AD32" t="s">
        <v>40</v>
      </c>
      <c r="AE32">
        <v>0</v>
      </c>
      <c r="AF32">
        <v>1</v>
      </c>
      <c r="AG32" t="s">
        <v>40</v>
      </c>
      <c r="AH32">
        <v>0</v>
      </c>
      <c r="AI32">
        <v>1</v>
      </c>
      <c r="AJ32">
        <v>0</v>
      </c>
      <c r="AK32" t="s">
        <v>40</v>
      </c>
      <c r="AL32">
        <v>0</v>
      </c>
      <c r="AM32">
        <v>1</v>
      </c>
      <c r="AN32" t="s">
        <v>98</v>
      </c>
      <c r="AO32">
        <v>0</v>
      </c>
      <c r="AP32">
        <v>1000000</v>
      </c>
      <c r="AQ32" t="s">
        <v>106</v>
      </c>
      <c r="AR32" s="6" t="str">
        <f>$O$6</f>
        <v>BXX</v>
      </c>
      <c r="AS32" t="s">
        <v>1</v>
      </c>
      <c r="AT32" s="6" t="str">
        <f>$A$3&amp;".AI_MX"</f>
        <v>BXX_ATS1_SG1.AI_MX</v>
      </c>
      <c r="AU32" t="s">
        <v>1</v>
      </c>
      <c r="AV32" s="6" t="str">
        <f>C32</f>
        <v>Sample ATS Total Transfers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</row>
    <row r="33" spans="1:64" x14ac:dyDescent="0.25">
      <c r="A33" s="1" t="s">
        <v>107</v>
      </c>
      <c r="B33" t="s">
        <v>4</v>
      </c>
      <c r="C33" t="s">
        <v>5</v>
      </c>
      <c r="D33" s="4">
        <f t="shared" si="0"/>
        <v>7</v>
      </c>
      <c r="E33" t="s">
        <v>30</v>
      </c>
      <c r="F33" t="s">
        <v>6</v>
      </c>
      <c r="G33" t="s">
        <v>7</v>
      </c>
      <c r="H33" t="s">
        <v>31</v>
      </c>
      <c r="I33" t="s">
        <v>66</v>
      </c>
      <c r="J33" t="s">
        <v>67</v>
      </c>
      <c r="K33" t="s">
        <v>68</v>
      </c>
      <c r="L33" t="s">
        <v>69</v>
      </c>
      <c r="M33" t="s">
        <v>70</v>
      </c>
      <c r="N33" t="s">
        <v>101</v>
      </c>
      <c r="O33" t="s">
        <v>102</v>
      </c>
      <c r="P33" t="s">
        <v>73</v>
      </c>
      <c r="Q33" t="s">
        <v>74</v>
      </c>
      <c r="R33" t="s">
        <v>75</v>
      </c>
      <c r="S33" t="s">
        <v>76</v>
      </c>
      <c r="T33" t="s">
        <v>77</v>
      </c>
      <c r="U33" t="s">
        <v>78</v>
      </c>
      <c r="V33" t="s">
        <v>79</v>
      </c>
      <c r="W33" t="s">
        <v>80</v>
      </c>
      <c r="X33" t="s">
        <v>81</v>
      </c>
      <c r="Y33" t="s">
        <v>82</v>
      </c>
      <c r="Z33" t="s">
        <v>83</v>
      </c>
      <c r="AA33" t="s">
        <v>84</v>
      </c>
      <c r="AB33" t="s">
        <v>85</v>
      </c>
      <c r="AC33" t="s">
        <v>86</v>
      </c>
      <c r="AD33" t="s">
        <v>87</v>
      </c>
      <c r="AE33" t="s">
        <v>88</v>
      </c>
      <c r="AF33" t="s">
        <v>89</v>
      </c>
      <c r="AG33" t="s">
        <v>90</v>
      </c>
      <c r="AH33" t="s">
        <v>91</v>
      </c>
      <c r="AI33" t="s">
        <v>92</v>
      </c>
      <c r="AJ33" t="s">
        <v>93</v>
      </c>
      <c r="AK33" t="s">
        <v>94</v>
      </c>
      <c r="AL33" t="s">
        <v>95</v>
      </c>
      <c r="AM33" t="s">
        <v>96</v>
      </c>
      <c r="AN33" t="s">
        <v>97</v>
      </c>
      <c r="AO33" t="s">
        <v>103</v>
      </c>
      <c r="AP33" t="s">
        <v>104</v>
      </c>
      <c r="AQ33" t="s">
        <v>105</v>
      </c>
      <c r="AR33" t="s">
        <v>45</v>
      </c>
      <c r="AS33" t="s">
        <v>46</v>
      </c>
      <c r="AT33" t="s">
        <v>47</v>
      </c>
      <c r="AU33" t="s">
        <v>48</v>
      </c>
      <c r="AV33" t="s">
        <v>37</v>
      </c>
      <c r="AW33" t="s">
        <v>38</v>
      </c>
      <c r="AX33" t="s">
        <v>8</v>
      </c>
      <c r="AY33" t="s">
        <v>9</v>
      </c>
      <c r="AZ33" t="s">
        <v>10</v>
      </c>
      <c r="BA33" t="s">
        <v>11</v>
      </c>
      <c r="BB33" t="s">
        <v>12</v>
      </c>
      <c r="BC33" t="s">
        <v>13</v>
      </c>
      <c r="BD33" t="s">
        <v>14</v>
      </c>
      <c r="BE33" t="s">
        <v>16</v>
      </c>
      <c r="BF33" t="s">
        <v>17</v>
      </c>
      <c r="BG33" t="s">
        <v>18</v>
      </c>
      <c r="BH33" t="s">
        <v>19</v>
      </c>
      <c r="BI33" t="s">
        <v>20</v>
      </c>
      <c r="BJ33" t="s">
        <v>21</v>
      </c>
      <c r="BK33" t="s">
        <v>22</v>
      </c>
      <c r="BL33" t="s">
        <v>39</v>
      </c>
    </row>
    <row r="34" spans="1:64" x14ac:dyDescent="0.25">
      <c r="A34" s="6" t="str">
        <f>$A$3&amp;"_"&amp;"AI_RT"</f>
        <v>BXX_ATS1_SG1_AI_RT</v>
      </c>
      <c r="B34" s="6" t="str">
        <f>$A$3</f>
        <v>BXX_ATS1_SG1</v>
      </c>
      <c r="C34" s="6" t="str">
        <f>$C$3&amp;" Hours on Emerg. Power"</f>
        <v>Sample ATS Hours on Emerg. Power</v>
      </c>
      <c r="D34" s="4">
        <f t="shared" si="0"/>
        <v>32</v>
      </c>
      <c r="E34" t="s">
        <v>0</v>
      </c>
      <c r="F34" t="s">
        <v>1</v>
      </c>
      <c r="G34">
        <v>0</v>
      </c>
      <c r="H34" t="s">
        <v>0</v>
      </c>
      <c r="I34" t="s">
        <v>1</v>
      </c>
      <c r="J34">
        <v>0</v>
      </c>
      <c r="K34">
        <v>0</v>
      </c>
      <c r="L34" t="s">
        <v>111</v>
      </c>
      <c r="M34">
        <v>0</v>
      </c>
      <c r="N34">
        <v>0</v>
      </c>
      <c r="O34">
        <v>1000000</v>
      </c>
      <c r="P34">
        <v>0</v>
      </c>
      <c r="Q34">
        <v>1</v>
      </c>
      <c r="R34" t="s">
        <v>40</v>
      </c>
      <c r="S34">
        <v>0</v>
      </c>
      <c r="T34">
        <v>1</v>
      </c>
      <c r="U34" t="s">
        <v>40</v>
      </c>
      <c r="V34">
        <v>0</v>
      </c>
      <c r="W34">
        <v>1</v>
      </c>
      <c r="X34" t="s">
        <v>40</v>
      </c>
      <c r="Y34">
        <v>0</v>
      </c>
      <c r="Z34">
        <v>1</v>
      </c>
      <c r="AA34" t="s">
        <v>40</v>
      </c>
      <c r="AB34">
        <v>0</v>
      </c>
      <c r="AC34">
        <v>1</v>
      </c>
      <c r="AD34" t="s">
        <v>40</v>
      </c>
      <c r="AE34">
        <v>0</v>
      </c>
      <c r="AF34">
        <v>1</v>
      </c>
      <c r="AG34" t="s">
        <v>40</v>
      </c>
      <c r="AH34">
        <v>0</v>
      </c>
      <c r="AI34">
        <v>1</v>
      </c>
      <c r="AJ34">
        <v>0</v>
      </c>
      <c r="AK34" t="s">
        <v>40</v>
      </c>
      <c r="AL34">
        <v>0</v>
      </c>
      <c r="AM34">
        <v>1</v>
      </c>
      <c r="AN34" t="s">
        <v>98</v>
      </c>
      <c r="AO34">
        <v>0</v>
      </c>
      <c r="AP34">
        <v>1000000</v>
      </c>
      <c r="AQ34" t="s">
        <v>106</v>
      </c>
      <c r="AR34" s="6" t="str">
        <f>$O$6</f>
        <v>BXX</v>
      </c>
      <c r="AS34" t="s">
        <v>1</v>
      </c>
      <c r="AT34" s="6" t="str">
        <f>$A$3&amp;".AI_RT"</f>
        <v>BXX_ATS1_SG1.AI_RT</v>
      </c>
      <c r="AU34" t="s">
        <v>1</v>
      </c>
      <c r="AV34" s="6" t="str">
        <f>C34</f>
        <v>Sample ATS Hours on Emerg. Power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</row>
    <row r="35" spans="1:64" x14ac:dyDescent="0.25">
      <c r="A35" s="1" t="s">
        <v>112</v>
      </c>
      <c r="B35" t="s">
        <v>4</v>
      </c>
      <c r="C35" t="s">
        <v>5</v>
      </c>
      <c r="D35" s="4">
        <f t="shared" si="0"/>
        <v>7</v>
      </c>
      <c r="E35" t="s">
        <v>30</v>
      </c>
      <c r="F35" t="s">
        <v>6</v>
      </c>
      <c r="G35" t="s">
        <v>7</v>
      </c>
      <c r="H35" t="s">
        <v>31</v>
      </c>
      <c r="I35" t="s">
        <v>113</v>
      </c>
      <c r="J35" t="s">
        <v>114</v>
      </c>
      <c r="K35" t="s">
        <v>37</v>
      </c>
      <c r="L35" t="s">
        <v>39</v>
      </c>
    </row>
    <row r="36" spans="1:64" x14ac:dyDescent="0.25">
      <c r="A36" s="6" t="str">
        <f>$A$3&amp;"_"&amp;"DI_NM"</f>
        <v>BXX_ATS1_SG1_DI_NM</v>
      </c>
      <c r="B36" s="6" t="str">
        <f>$A$3</f>
        <v>BXX_ATS1_SG1</v>
      </c>
      <c r="C36" s="6" t="str">
        <f>$A$3</f>
        <v>BXX_ATS1_SG1</v>
      </c>
      <c r="D36" s="4">
        <f t="shared" si="0"/>
        <v>12</v>
      </c>
      <c r="E36" t="s">
        <v>1</v>
      </c>
      <c r="F36" t="s">
        <v>1</v>
      </c>
      <c r="G36">
        <v>0</v>
      </c>
      <c r="H36" t="s">
        <v>0</v>
      </c>
      <c r="I36">
        <v>24</v>
      </c>
      <c r="J36" s="6" t="str">
        <f>$A$3</f>
        <v>BXX_ATS1_SG1</v>
      </c>
      <c r="K36" s="6" t="str">
        <f>$A$3</f>
        <v>BXX_ATS1_SG1</v>
      </c>
    </row>
    <row r="37" spans="1:64" s="170" customFormat="1" x14ac:dyDescent="0.25">
      <c r="A37" s="170" t="s">
        <v>665</v>
      </c>
      <c r="B37" s="170" t="s">
        <v>144</v>
      </c>
      <c r="C37" s="170" t="s">
        <v>372</v>
      </c>
      <c r="D37" s="4">
        <f t="shared" si="0"/>
        <v>8</v>
      </c>
      <c r="E37" s="170" t="s">
        <v>1</v>
      </c>
      <c r="F37" s="170" t="s">
        <v>1</v>
      </c>
      <c r="G37" s="170">
        <v>0</v>
      </c>
      <c r="H37" s="170" t="s">
        <v>0</v>
      </c>
      <c r="I37" s="170">
        <v>64</v>
      </c>
    </row>
    <row r="38" spans="1:64" x14ac:dyDescent="0.25">
      <c r="A38" t="s">
        <v>115</v>
      </c>
      <c r="B38" t="s">
        <v>4</v>
      </c>
      <c r="C38" t="s">
        <v>5</v>
      </c>
      <c r="E38" t="s">
        <v>30</v>
      </c>
      <c r="F38" t="s">
        <v>6</v>
      </c>
      <c r="G38" t="s">
        <v>7</v>
      </c>
      <c r="H38" t="s">
        <v>31</v>
      </c>
      <c r="I38" t="s">
        <v>113</v>
      </c>
      <c r="J38" t="s">
        <v>114</v>
      </c>
      <c r="K38" t="s">
        <v>45</v>
      </c>
      <c r="L38" t="s">
        <v>46</v>
      </c>
      <c r="M38" t="s">
        <v>47</v>
      </c>
      <c r="N38" t="s">
        <v>48</v>
      </c>
      <c r="O38" t="s">
        <v>37</v>
      </c>
      <c r="P38" t="s">
        <v>39</v>
      </c>
    </row>
    <row r="39" spans="1:64" x14ac:dyDescent="0.25">
      <c r="A39" s="3" t="str">
        <f>$A$3&amp;"_"&amp;"PB_SF_RN"</f>
        <v>BXX_ATS1_SG1_PB_SF_RN</v>
      </c>
      <c r="B39" s="6" t="str">
        <f t="shared" ref="B39:B42" si="5">$A$3</f>
        <v>BXX_ATS1_SG1</v>
      </c>
      <c r="C39" s="6" t="str">
        <f>$C$3 &amp; " Failed To Start Dis Reason"</f>
        <v>Sample ATS Failed To Start Dis Reason</v>
      </c>
      <c r="D39" s="4">
        <f>LEN(C39)</f>
        <v>37</v>
      </c>
      <c r="E39" t="s">
        <v>1</v>
      </c>
      <c r="F39" t="s">
        <v>1</v>
      </c>
      <c r="G39">
        <v>0</v>
      </c>
      <c r="H39" t="s">
        <v>0</v>
      </c>
      <c r="I39">
        <v>131</v>
      </c>
      <c r="J39" t="s">
        <v>123</v>
      </c>
      <c r="K39" s="2" t="s">
        <v>124</v>
      </c>
      <c r="L39" t="s">
        <v>0</v>
      </c>
      <c r="M39" s="6" t="str">
        <f t="shared" ref="M39:M42" si="6">A39</f>
        <v>BXX_ATS1_SG1_PB_SF_RN</v>
      </c>
      <c r="N39" t="s">
        <v>1</v>
      </c>
      <c r="O39" s="6" t="str">
        <f t="shared" ref="O39:O42" si="7">C39</f>
        <v>Sample ATS Failed To Start Dis Reason</v>
      </c>
    </row>
    <row r="40" spans="1:64" x14ac:dyDescent="0.25">
      <c r="A40" s="3" t="str">
        <f>$A$3&amp;"_"&amp;"PB_XF_RN"</f>
        <v>BXX_ATS1_SG1_PB_XF_RN</v>
      </c>
      <c r="B40" s="6" t="str">
        <f t="shared" si="5"/>
        <v>BXX_ATS1_SG1</v>
      </c>
      <c r="C40" s="6" t="str">
        <f>$C$3 &amp; " Failed To Stop Dis Reason"</f>
        <v>Sample ATS Failed To Stop Dis Reason</v>
      </c>
      <c r="D40" s="4">
        <f t="shared" ref="D40:D43" si="8">LEN(C40)</f>
        <v>36</v>
      </c>
      <c r="E40" t="s">
        <v>1</v>
      </c>
      <c r="F40" t="s">
        <v>1</v>
      </c>
      <c r="G40">
        <v>0</v>
      </c>
      <c r="H40" t="s">
        <v>0</v>
      </c>
      <c r="I40">
        <v>131</v>
      </c>
      <c r="J40" t="s">
        <v>123</v>
      </c>
      <c r="K40" s="6" t="str">
        <f>$K$39</f>
        <v>BXXCPU01_1</v>
      </c>
      <c r="L40" t="s">
        <v>0</v>
      </c>
      <c r="M40" s="6" t="str">
        <f t="shared" si="6"/>
        <v>BXX_ATS1_SG1_PB_XF_RN</v>
      </c>
      <c r="N40" t="s">
        <v>1</v>
      </c>
      <c r="O40" s="6" t="str">
        <f t="shared" si="7"/>
        <v>Sample ATS Failed To Stop Dis Reason</v>
      </c>
    </row>
    <row r="41" spans="1:64" x14ac:dyDescent="0.25">
      <c r="A41" s="3" t="str">
        <f>$A$3&amp;"_"&amp;"PB_AE_RN"</f>
        <v>BXX_ATS1_SG1_PB_AE_RN</v>
      </c>
      <c r="B41" s="6" t="str">
        <f t="shared" si="5"/>
        <v>BXX_ATS1_SG1</v>
      </c>
      <c r="C41" s="6" t="str">
        <f>$C$3 &amp; " Alarms Disabled Reason"</f>
        <v>Sample ATS Alarms Disabled Reason</v>
      </c>
      <c r="D41" s="4">
        <f t="shared" si="8"/>
        <v>33</v>
      </c>
      <c r="E41" t="s">
        <v>1</v>
      </c>
      <c r="F41" t="s">
        <v>1</v>
      </c>
      <c r="G41">
        <v>0</v>
      </c>
      <c r="H41" t="s">
        <v>0</v>
      </c>
      <c r="I41">
        <v>131</v>
      </c>
      <c r="J41" t="s">
        <v>123</v>
      </c>
      <c r="K41" s="6" t="str">
        <f>$K$39</f>
        <v>BXXCPU01_1</v>
      </c>
      <c r="L41" t="s">
        <v>0</v>
      </c>
      <c r="M41" s="6" t="str">
        <f t="shared" si="6"/>
        <v>BXX_ATS1_SG1_PB_AE_RN</v>
      </c>
      <c r="N41" t="s">
        <v>1</v>
      </c>
      <c r="O41" s="6" t="str">
        <f t="shared" si="7"/>
        <v>Sample ATS Alarms Disabled Reason</v>
      </c>
    </row>
    <row r="42" spans="1:64" x14ac:dyDescent="0.25">
      <c r="A42" s="3" t="str">
        <f>$A$3&amp;"_"&amp;"PB_JE_SR"</f>
        <v>BXX_ATS1_SG1_PB_JE_SR</v>
      </c>
      <c r="B42" s="6" t="str">
        <f t="shared" si="5"/>
        <v>BXX_ATS1_SG1</v>
      </c>
      <c r="C42" s="6" t="str">
        <f>$C$3&amp;" on Emerg Power Disabled Reason"</f>
        <v>Sample ATS on Emerg Power Disabled Reason</v>
      </c>
      <c r="D42" s="4">
        <f t="shared" si="8"/>
        <v>41</v>
      </c>
      <c r="E42" t="s">
        <v>1</v>
      </c>
      <c r="F42" t="s">
        <v>1</v>
      </c>
      <c r="G42">
        <v>0</v>
      </c>
      <c r="H42" t="s">
        <v>0</v>
      </c>
      <c r="I42">
        <v>131</v>
      </c>
      <c r="J42" t="s">
        <v>123</v>
      </c>
      <c r="K42" s="6" t="str">
        <f>$K$39</f>
        <v>BXXCPU01_1</v>
      </c>
      <c r="L42" t="s">
        <v>0</v>
      </c>
      <c r="M42" s="6" t="str">
        <f t="shared" si="6"/>
        <v>BXX_ATS1_SG1_PB_JE_SR</v>
      </c>
      <c r="N42" t="s">
        <v>1</v>
      </c>
      <c r="O42" s="6" t="str">
        <f t="shared" si="7"/>
        <v>Sample ATS on Emerg Power Disabled Reason</v>
      </c>
    </row>
    <row r="43" spans="1:64" s="168" customFormat="1" x14ac:dyDescent="0.25">
      <c r="A43" s="168" t="s">
        <v>176</v>
      </c>
      <c r="B43" s="168" t="s">
        <v>4</v>
      </c>
      <c r="C43" s="168" t="s">
        <v>5</v>
      </c>
      <c r="D43" s="4">
        <f t="shared" si="8"/>
        <v>7</v>
      </c>
      <c r="E43" s="168" t="s">
        <v>6</v>
      </c>
      <c r="F43" s="168" t="s">
        <v>7</v>
      </c>
      <c r="G43" s="168" t="s">
        <v>31</v>
      </c>
      <c r="H43" s="168" t="s">
        <v>39</v>
      </c>
    </row>
    <row r="44" spans="1:64" x14ac:dyDescent="0.25">
      <c r="A44" s="220" t="s">
        <v>666</v>
      </c>
      <c r="B44" s="169" t="s">
        <v>144</v>
      </c>
      <c r="C44" s="169" t="s">
        <v>362</v>
      </c>
      <c r="E44" s="170" t="s">
        <v>1</v>
      </c>
      <c r="F44" s="170">
        <v>0</v>
      </c>
      <c r="G44" s="170" t="s">
        <v>1</v>
      </c>
    </row>
    <row r="45" spans="1:64" x14ac:dyDescent="0.25">
      <c r="A45" s="220" t="s">
        <v>667</v>
      </c>
      <c r="B45" s="169" t="s">
        <v>144</v>
      </c>
      <c r="C45" s="169" t="s">
        <v>363</v>
      </c>
      <c r="E45" s="170" t="s">
        <v>1</v>
      </c>
      <c r="F45" s="170">
        <v>0</v>
      </c>
      <c r="G45" s="170" t="s">
        <v>1</v>
      </c>
    </row>
    <row r="46" spans="1:64" x14ac:dyDescent="0.25">
      <c r="A46" s="220" t="s">
        <v>668</v>
      </c>
      <c r="B46" s="169" t="s">
        <v>144</v>
      </c>
      <c r="C46" s="169" t="s">
        <v>364</v>
      </c>
      <c r="E46" s="170" t="s">
        <v>1</v>
      </c>
      <c r="F46" s="170">
        <v>0</v>
      </c>
      <c r="G46" s="170" t="s">
        <v>1</v>
      </c>
    </row>
    <row r="47" spans="1:64" x14ac:dyDescent="0.25">
      <c r="A47" s="220" t="s">
        <v>669</v>
      </c>
      <c r="B47" s="169" t="s">
        <v>144</v>
      </c>
      <c r="C47" s="169" t="s">
        <v>365</v>
      </c>
      <c r="E47" s="170" t="s">
        <v>1</v>
      </c>
      <c r="F47" s="170">
        <v>0</v>
      </c>
      <c r="G47" s="170" t="s">
        <v>1</v>
      </c>
    </row>
    <row r="48" spans="1:64" x14ac:dyDescent="0.25">
      <c r="A48" s="220" t="s">
        <v>670</v>
      </c>
      <c r="B48" s="169" t="s">
        <v>144</v>
      </c>
      <c r="C48" s="169" t="s">
        <v>366</v>
      </c>
      <c r="E48" s="170" t="s">
        <v>1</v>
      </c>
      <c r="F48" s="170">
        <v>0</v>
      </c>
      <c r="G48" s="170" t="s">
        <v>1</v>
      </c>
    </row>
    <row r="49" spans="1:8" x14ac:dyDescent="0.25">
      <c r="A49" s="220" t="s">
        <v>671</v>
      </c>
      <c r="B49" s="169" t="s">
        <v>144</v>
      </c>
      <c r="C49" s="169" t="s">
        <v>367</v>
      </c>
      <c r="E49" s="170" t="s">
        <v>1</v>
      </c>
      <c r="F49" s="170">
        <v>0</v>
      </c>
      <c r="G49" s="170" t="s">
        <v>1</v>
      </c>
    </row>
    <row r="50" spans="1:8" x14ac:dyDescent="0.25">
      <c r="A50" s="220" t="s">
        <v>672</v>
      </c>
      <c r="B50" s="169" t="s">
        <v>144</v>
      </c>
      <c r="C50" s="169" t="s">
        <v>368</v>
      </c>
      <c r="E50" s="170" t="s">
        <v>1</v>
      </c>
      <c r="F50" s="170">
        <v>0</v>
      </c>
      <c r="G50" s="170" t="s">
        <v>1</v>
      </c>
    </row>
    <row r="51" spans="1:8" x14ac:dyDescent="0.25">
      <c r="A51" s="220" t="s">
        <v>673</v>
      </c>
      <c r="B51" s="169" t="s">
        <v>144</v>
      </c>
      <c r="C51" s="169" t="s">
        <v>366</v>
      </c>
      <c r="E51" s="170" t="s">
        <v>1</v>
      </c>
      <c r="F51" s="170">
        <v>0</v>
      </c>
      <c r="G51" s="170" t="s">
        <v>1</v>
      </c>
    </row>
    <row r="52" spans="1:8" x14ac:dyDescent="0.25">
      <c r="A52" s="220" t="s">
        <v>674</v>
      </c>
      <c r="B52" s="169" t="s">
        <v>144</v>
      </c>
      <c r="C52" s="169" t="s">
        <v>369</v>
      </c>
      <c r="E52" s="170" t="s">
        <v>1</v>
      </c>
      <c r="F52" s="170">
        <v>0</v>
      </c>
      <c r="G52" s="170" t="s">
        <v>1</v>
      </c>
    </row>
    <row r="53" spans="1:8" x14ac:dyDescent="0.25">
      <c r="A53" s="220" t="s">
        <v>675</v>
      </c>
      <c r="B53" s="169" t="s">
        <v>144</v>
      </c>
      <c r="C53" s="169" t="s">
        <v>370</v>
      </c>
      <c r="E53" s="170" t="s">
        <v>1</v>
      </c>
      <c r="F53" s="170">
        <v>0</v>
      </c>
      <c r="G53" s="170" t="s">
        <v>1</v>
      </c>
    </row>
    <row r="54" spans="1:8" s="170" customFormat="1" x14ac:dyDescent="0.25">
      <c r="A54" s="170" t="s">
        <v>143</v>
      </c>
      <c r="B54" s="170" t="s">
        <v>4</v>
      </c>
      <c r="C54" s="170" t="s">
        <v>5</v>
      </c>
      <c r="D54" s="4">
        <f t="shared" ref="D54:D55" si="9">LEN(C54)</f>
        <v>7</v>
      </c>
      <c r="E54" s="170" t="s">
        <v>6</v>
      </c>
      <c r="F54" s="170" t="s">
        <v>7</v>
      </c>
      <c r="G54" s="170" t="s">
        <v>31</v>
      </c>
      <c r="H54" s="170" t="s">
        <v>39</v>
      </c>
    </row>
    <row r="55" spans="1:8" s="170" customFormat="1" x14ac:dyDescent="0.25">
      <c r="A55" s="170" t="s">
        <v>676</v>
      </c>
      <c r="B55" s="170" t="s">
        <v>144</v>
      </c>
      <c r="C55" s="170" t="s">
        <v>371</v>
      </c>
      <c r="D55" s="4">
        <f t="shared" si="9"/>
        <v>24</v>
      </c>
      <c r="E55" s="170" t="s">
        <v>1</v>
      </c>
      <c r="F55" s="170">
        <v>0</v>
      </c>
      <c r="G55" s="170" t="s">
        <v>1</v>
      </c>
    </row>
  </sheetData>
  <conditionalFormatting sqref="D33:D36 D29 D23 D6:D8 D10:D11 D39:D42 D16 D18:D20 D25 D14">
    <cfRule type="cellIs" dxfId="67" priority="27" operator="greaterThan">
      <formula>49</formula>
    </cfRule>
  </conditionalFormatting>
  <conditionalFormatting sqref="D32">
    <cfRule type="cellIs" dxfId="66" priority="22" operator="greaterThan">
      <formula>49</formula>
    </cfRule>
  </conditionalFormatting>
  <conditionalFormatting sqref="D3:D4">
    <cfRule type="cellIs" dxfId="65" priority="25" operator="greaterThan">
      <formula>49</formula>
    </cfRule>
  </conditionalFormatting>
  <conditionalFormatting sqref="D30">
    <cfRule type="cellIs" dxfId="64" priority="24" operator="greaterThan">
      <formula>49</formula>
    </cfRule>
  </conditionalFormatting>
  <conditionalFormatting sqref="D31">
    <cfRule type="cellIs" dxfId="63" priority="23" operator="greaterThan">
      <formula>49</formula>
    </cfRule>
  </conditionalFormatting>
  <conditionalFormatting sqref="D9">
    <cfRule type="cellIs" dxfId="62" priority="21" operator="greaterThan">
      <formula>49</formula>
    </cfRule>
  </conditionalFormatting>
  <conditionalFormatting sqref="D22">
    <cfRule type="cellIs" dxfId="61" priority="19" operator="greaterThan">
      <formula>49</formula>
    </cfRule>
  </conditionalFormatting>
  <conditionalFormatting sqref="D26">
    <cfRule type="cellIs" dxfId="60" priority="17" operator="greaterThan">
      <formula>49</formula>
    </cfRule>
  </conditionalFormatting>
  <conditionalFormatting sqref="D27">
    <cfRule type="cellIs" dxfId="59" priority="14" operator="greaterThan">
      <formula>49</formula>
    </cfRule>
  </conditionalFormatting>
  <conditionalFormatting sqref="D28">
    <cfRule type="cellIs" dxfId="58" priority="11" operator="greaterThan">
      <formula>49</formula>
    </cfRule>
  </conditionalFormatting>
  <conditionalFormatting sqref="D15">
    <cfRule type="cellIs" dxfId="57" priority="8" operator="greaterThan">
      <formula>49</formula>
    </cfRule>
  </conditionalFormatting>
  <conditionalFormatting sqref="D17">
    <cfRule type="cellIs" dxfId="56" priority="7" operator="greaterThan">
      <formula>49</formula>
    </cfRule>
  </conditionalFormatting>
  <conditionalFormatting sqref="D21">
    <cfRule type="cellIs" dxfId="55" priority="6" operator="greaterThan">
      <formula>49</formula>
    </cfRule>
  </conditionalFormatting>
  <conditionalFormatting sqref="D24">
    <cfRule type="cellIs" dxfId="54" priority="5" operator="greaterThan">
      <formula>49</formula>
    </cfRule>
  </conditionalFormatting>
  <conditionalFormatting sqref="D12:D13">
    <cfRule type="cellIs" dxfId="53" priority="4" operator="greaterThan">
      <formula>49</formula>
    </cfRule>
  </conditionalFormatting>
  <conditionalFormatting sqref="D43">
    <cfRule type="cellIs" dxfId="52" priority="3" operator="greaterThan">
      <formula>49</formula>
    </cfRule>
  </conditionalFormatting>
  <conditionalFormatting sqref="D54:D55">
    <cfRule type="cellIs" dxfId="51" priority="2" operator="greaterThan">
      <formula>49</formula>
    </cfRule>
  </conditionalFormatting>
  <conditionalFormatting sqref="D37">
    <cfRule type="cellIs" dxfId="50" priority="1" operator="greaterThan">
      <formula>49</formula>
    </cfRule>
  </conditionalFormatting>
  <pageMargins left="0.7" right="0.7" top="0.97222222222222221" bottom="0.75" header="0.3" footer="0.3"/>
  <pageSetup orientation="portrait" r:id="rId1"/>
  <headerFooter>
    <oddHeader>&amp;L&amp;"Times New Roman,Regular"Regional Municipality of Halton  
SCADA Standards Manual Section 6 HMI Programming
Appendix 6A HMI Tag Template&amp;R&amp;"Times New Roman,Regular"SCADA STANDARDS 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75"/>
  <sheetViews>
    <sheetView tabSelected="1" zoomScaleNormal="100" workbookViewId="0">
      <selection activeCell="A76" sqref="A76"/>
    </sheetView>
  </sheetViews>
  <sheetFormatPr defaultRowHeight="15" x14ac:dyDescent="0.25"/>
  <cols>
    <col min="1" max="1" width="31.28515625" bestFit="1" customWidth="1"/>
    <col min="2" max="2" width="14.5703125" bestFit="1" customWidth="1"/>
    <col min="3" max="3" width="43.7109375" bestFit="1" customWidth="1"/>
    <col min="4" max="4" width="5.5703125" style="4" customWidth="1"/>
    <col min="5" max="5" width="13.28515625" bestFit="1" customWidth="1"/>
    <col min="6" max="7" width="17.7109375" bestFit="1" customWidth="1"/>
    <col min="8" max="8" width="13.7109375" bestFit="1" customWidth="1"/>
    <col min="9" max="9" width="23.28515625" bestFit="1" customWidth="1"/>
    <col min="10" max="10" width="25.140625" bestFit="1" customWidth="1"/>
    <col min="11" max="12" width="18.140625" bestFit="1" customWidth="1"/>
    <col min="13" max="13" width="25.140625" bestFit="1" customWidth="1"/>
    <col min="14" max="14" width="15" bestFit="1" customWidth="1"/>
    <col min="15" max="15" width="45.42578125" bestFit="1" customWidth="1"/>
    <col min="16" max="16" width="15.42578125" bestFit="1" customWidth="1"/>
    <col min="17" max="17" width="25.5703125" bestFit="1" customWidth="1"/>
    <col min="18" max="18" width="16.140625" bestFit="1" customWidth="1"/>
    <col min="19" max="19" width="41.7109375" bestFit="1" customWidth="1"/>
    <col min="20" max="20" width="19.140625" bestFit="1" customWidth="1"/>
    <col min="21" max="21" width="15.85546875" bestFit="1" customWidth="1"/>
    <col min="22" max="22" width="16" bestFit="1" customWidth="1"/>
    <col min="23" max="23" width="13.28515625" bestFit="1" customWidth="1"/>
    <col min="24" max="24" width="11.7109375" bestFit="1" customWidth="1"/>
    <col min="25" max="25" width="12" bestFit="1" customWidth="1"/>
    <col min="26" max="26" width="9.5703125" bestFit="1" customWidth="1"/>
    <col min="27" max="27" width="13.42578125" bestFit="1" customWidth="1"/>
    <col min="28" max="28" width="13.7109375" bestFit="1" customWidth="1"/>
    <col min="29" max="29" width="11.28515625" bestFit="1" customWidth="1"/>
    <col min="30" max="30" width="18.28515625" bestFit="1" customWidth="1"/>
    <col min="31" max="31" width="18.5703125" bestFit="1" customWidth="1"/>
    <col min="32" max="32" width="16" bestFit="1" customWidth="1"/>
    <col min="33" max="33" width="18.28515625" bestFit="1" customWidth="1"/>
    <col min="34" max="34" width="18.5703125" bestFit="1" customWidth="1"/>
    <col min="35" max="35" width="16" bestFit="1" customWidth="1"/>
    <col min="36" max="36" width="9.28515625" bestFit="1" customWidth="1"/>
    <col min="37" max="37" width="13.7109375" bestFit="1" customWidth="1"/>
    <col min="38" max="38" width="14" bestFit="1" customWidth="1"/>
    <col min="39" max="39" width="11.42578125" bestFit="1" customWidth="1"/>
    <col min="40" max="40" width="12.42578125" bestFit="1" customWidth="1"/>
    <col min="41" max="41" width="13.85546875" bestFit="1" customWidth="1"/>
    <col min="42" max="42" width="14" bestFit="1" customWidth="1"/>
    <col min="43" max="43" width="15.7109375" bestFit="1" customWidth="1"/>
    <col min="44" max="44" width="13.7109375" bestFit="1" customWidth="1"/>
    <col min="45" max="45" width="15.42578125" bestFit="1" customWidth="1"/>
    <col min="46" max="46" width="21" bestFit="1" customWidth="1"/>
    <col min="47" max="47" width="18.140625" bestFit="1" customWidth="1"/>
    <col min="48" max="48" width="34.85546875" bestFit="1" customWidth="1"/>
    <col min="49" max="49" width="14.85546875" bestFit="1" customWidth="1"/>
    <col min="50" max="50" width="16.7109375" bestFit="1" customWidth="1"/>
    <col min="51" max="51" width="14.7109375" bestFit="1" customWidth="1"/>
    <col min="52" max="52" width="14.42578125" bestFit="1" customWidth="1"/>
    <col min="53" max="53" width="16.140625" bestFit="1" customWidth="1"/>
    <col min="54" max="55" width="19.140625" bestFit="1" customWidth="1"/>
    <col min="56" max="56" width="15.85546875" bestFit="1" customWidth="1"/>
    <col min="57" max="57" width="16.7109375" bestFit="1" customWidth="1"/>
    <col min="58" max="58" width="14.7109375" bestFit="1" customWidth="1"/>
    <col min="59" max="59" width="14.42578125" bestFit="1" customWidth="1"/>
    <col min="60" max="60" width="16.140625" bestFit="1" customWidth="1"/>
    <col min="61" max="62" width="19.140625" bestFit="1" customWidth="1"/>
    <col min="63" max="63" width="15.85546875" bestFit="1" customWidth="1"/>
    <col min="64" max="64" width="13.28515625" bestFit="1" customWidth="1"/>
  </cols>
  <sheetData>
    <row r="1" spans="1:23" x14ac:dyDescent="0.25">
      <c r="A1" t="s">
        <v>130</v>
      </c>
      <c r="D1"/>
    </row>
    <row r="2" spans="1:23" x14ac:dyDescent="0.25">
      <c r="A2" t="s">
        <v>3</v>
      </c>
      <c r="B2" t="s">
        <v>4</v>
      </c>
      <c r="C2" t="s">
        <v>5</v>
      </c>
      <c r="D2" s="5" t="s">
        <v>119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t="s">
        <v>14</v>
      </c>
      <c r="N2" t="s">
        <v>15</v>
      </c>
      <c r="O2" t="s">
        <v>16</v>
      </c>
      <c r="P2" t="s">
        <v>17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  <c r="V2" t="s">
        <v>23</v>
      </c>
    </row>
    <row r="3" spans="1:23" x14ac:dyDescent="0.25">
      <c r="A3" s="2" t="s">
        <v>538</v>
      </c>
      <c r="B3" s="2" t="s">
        <v>2</v>
      </c>
      <c r="C3" s="2" t="s">
        <v>133</v>
      </c>
      <c r="D3" s="4">
        <f>LEN(C3)</f>
        <v>16</v>
      </c>
      <c r="E3" t="s">
        <v>0</v>
      </c>
      <c r="F3">
        <v>999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23" x14ac:dyDescent="0.25">
      <c r="A4" s="2" t="s">
        <v>25</v>
      </c>
      <c r="B4" s="2" t="s">
        <v>116</v>
      </c>
      <c r="C4" s="2" t="s">
        <v>117</v>
      </c>
      <c r="D4" s="4">
        <f t="shared" ref="D4:D67" si="0">LEN(C4)</f>
        <v>25</v>
      </c>
      <c r="E4" t="s">
        <v>0</v>
      </c>
      <c r="F4">
        <v>999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23" s="164" customFormat="1" x14ac:dyDescent="0.25">
      <c r="A5" s="165" t="s">
        <v>29</v>
      </c>
      <c r="B5" s="165" t="s">
        <v>4</v>
      </c>
      <c r="C5" s="165" t="s">
        <v>5</v>
      </c>
      <c r="D5" s="4">
        <f t="shared" si="0"/>
        <v>7</v>
      </c>
      <c r="E5" s="166" t="s">
        <v>30</v>
      </c>
      <c r="F5" s="166" t="s">
        <v>6</v>
      </c>
      <c r="G5" s="166" t="s">
        <v>7</v>
      </c>
      <c r="H5" s="166" t="s">
        <v>31</v>
      </c>
      <c r="I5" s="166" t="s">
        <v>32</v>
      </c>
      <c r="J5" s="166" t="s">
        <v>33</v>
      </c>
      <c r="K5" s="166" t="s">
        <v>34</v>
      </c>
      <c r="L5" s="166" t="s">
        <v>35</v>
      </c>
      <c r="M5" s="166" t="s">
        <v>36</v>
      </c>
      <c r="N5" s="166" t="s">
        <v>37</v>
      </c>
      <c r="O5" s="166" t="s">
        <v>38</v>
      </c>
      <c r="P5" s="166" t="s">
        <v>15</v>
      </c>
      <c r="Q5" s="166" t="s">
        <v>23</v>
      </c>
      <c r="R5" s="166" t="s">
        <v>39</v>
      </c>
    </row>
    <row r="6" spans="1:23" s="164" customFormat="1" x14ac:dyDescent="0.25">
      <c r="A6" s="167" t="s">
        <v>358</v>
      </c>
      <c r="B6" s="167" t="s">
        <v>144</v>
      </c>
      <c r="C6" s="167" t="s">
        <v>359</v>
      </c>
      <c r="D6" s="4">
        <f t="shared" si="0"/>
        <v>39</v>
      </c>
      <c r="E6" s="168" t="s">
        <v>1</v>
      </c>
      <c r="F6" s="168" t="s">
        <v>1</v>
      </c>
      <c r="G6" s="168">
        <v>0</v>
      </c>
      <c r="H6" s="168" t="s">
        <v>0</v>
      </c>
      <c r="I6" s="168" t="s">
        <v>42</v>
      </c>
      <c r="J6" s="168"/>
      <c r="K6" s="168"/>
      <c r="L6" s="168" t="s">
        <v>41</v>
      </c>
      <c r="M6" s="168">
        <v>1</v>
      </c>
      <c r="N6" s="168" t="s">
        <v>295</v>
      </c>
      <c r="O6" s="168">
        <v>0</v>
      </c>
      <c r="P6" s="168">
        <v>0</v>
      </c>
      <c r="Q6" s="168"/>
      <c r="R6" s="168"/>
    </row>
    <row r="7" spans="1:23" s="164" customFormat="1" x14ac:dyDescent="0.25">
      <c r="A7" s="167" t="s">
        <v>360</v>
      </c>
      <c r="B7" s="167" t="s">
        <v>144</v>
      </c>
      <c r="C7" s="167" t="s">
        <v>361</v>
      </c>
      <c r="D7" s="4">
        <f t="shared" si="0"/>
        <v>34</v>
      </c>
      <c r="E7" s="168" t="s">
        <v>1</v>
      </c>
      <c r="F7" s="168" t="s">
        <v>1</v>
      </c>
      <c r="G7" s="168">
        <v>0</v>
      </c>
      <c r="H7" s="168" t="s">
        <v>0</v>
      </c>
      <c r="I7" s="168" t="s">
        <v>42</v>
      </c>
      <c r="J7" s="168"/>
      <c r="K7" s="168"/>
      <c r="L7" s="168" t="s">
        <v>41</v>
      </c>
      <c r="M7" s="168">
        <v>1</v>
      </c>
      <c r="N7" s="168" t="s">
        <v>295</v>
      </c>
      <c r="O7" s="168">
        <v>0</v>
      </c>
      <c r="P7" s="168">
        <v>0</v>
      </c>
      <c r="Q7" s="168"/>
      <c r="R7" s="168"/>
    </row>
    <row r="8" spans="1:23" x14ac:dyDescent="0.25">
      <c r="A8" s="1" t="s">
        <v>43</v>
      </c>
      <c r="B8" t="s">
        <v>4</v>
      </c>
      <c r="C8" t="s">
        <v>5</v>
      </c>
      <c r="D8" s="4">
        <f t="shared" si="0"/>
        <v>7</v>
      </c>
      <c r="E8" t="s">
        <v>30</v>
      </c>
      <c r="F8" t="s">
        <v>6</v>
      </c>
      <c r="G8" t="s">
        <v>7</v>
      </c>
      <c r="H8" t="s">
        <v>31</v>
      </c>
      <c r="I8" t="s">
        <v>32</v>
      </c>
      <c r="J8" t="s">
        <v>33</v>
      </c>
      <c r="K8" t="s">
        <v>34</v>
      </c>
      <c r="L8" t="s">
        <v>35</v>
      </c>
      <c r="M8" t="s">
        <v>36</v>
      </c>
      <c r="N8" t="s">
        <v>44</v>
      </c>
      <c r="O8" t="s">
        <v>45</v>
      </c>
      <c r="P8" t="s">
        <v>46</v>
      </c>
      <c r="Q8" t="s">
        <v>47</v>
      </c>
      <c r="R8" t="s">
        <v>48</v>
      </c>
      <c r="S8" t="s">
        <v>37</v>
      </c>
      <c r="T8" t="s">
        <v>38</v>
      </c>
      <c r="U8" t="s">
        <v>15</v>
      </c>
      <c r="V8" t="s">
        <v>23</v>
      </c>
      <c r="W8" t="s">
        <v>39</v>
      </c>
    </row>
    <row r="9" spans="1:23" x14ac:dyDescent="0.25">
      <c r="A9" s="6" t="str">
        <f>$A$3&amp;"_"&amp;"DI_AD"</f>
        <v>BXX_GEN1_DE1_DI_AD</v>
      </c>
      <c r="B9" s="6" t="str">
        <f>A4</f>
        <v>BXX_DSAB</v>
      </c>
      <c r="C9" s="6" t="str">
        <f>$C$3 &amp; " Disabled Alarm"</f>
        <v>Sample Generator Disabled Alarm</v>
      </c>
      <c r="D9" s="4">
        <f t="shared" si="0"/>
        <v>31</v>
      </c>
      <c r="E9" t="s">
        <v>1</v>
      </c>
      <c r="F9" t="s">
        <v>1</v>
      </c>
      <c r="G9">
        <v>0</v>
      </c>
      <c r="H9" t="s">
        <v>0</v>
      </c>
      <c r="I9" t="s">
        <v>40</v>
      </c>
      <c r="J9" t="s">
        <v>40</v>
      </c>
      <c r="K9" t="s">
        <v>42</v>
      </c>
      <c r="L9" t="s">
        <v>42</v>
      </c>
      <c r="M9" s="2">
        <v>98</v>
      </c>
      <c r="N9" t="s">
        <v>49</v>
      </c>
      <c r="O9" s="2" t="s">
        <v>2</v>
      </c>
      <c r="P9" t="s">
        <v>1</v>
      </c>
      <c r="Q9" s="6" t="str">
        <f>$A$3&amp;".DI_AD"</f>
        <v>BXX_GEN1_DE1.DI_AD</v>
      </c>
      <c r="R9" t="s">
        <v>1</v>
      </c>
      <c r="S9" s="6" t="str">
        <f>C9</f>
        <v>Sample Generator Disabled Alarm</v>
      </c>
      <c r="T9">
        <v>0</v>
      </c>
      <c r="U9">
        <v>0</v>
      </c>
    </row>
    <row r="10" spans="1:23" x14ac:dyDescent="0.25">
      <c r="A10" s="6" t="str">
        <f>$A$3&amp;"_"&amp;"DI_CL"</f>
        <v>BXX_GEN1_DE1_DI_CL</v>
      </c>
      <c r="B10" s="6" t="str">
        <f>$A$3</f>
        <v>BXX_GEN1_DE1</v>
      </c>
      <c r="C10" s="6" t="str">
        <f>$C$3&amp;" Control Mode"</f>
        <v>Sample Generator Control Mode</v>
      </c>
      <c r="D10" s="4">
        <f t="shared" si="0"/>
        <v>29</v>
      </c>
      <c r="E10" t="s">
        <v>1</v>
      </c>
      <c r="F10" t="s">
        <v>0</v>
      </c>
      <c r="G10" s="2">
        <v>700</v>
      </c>
      <c r="H10" t="s">
        <v>0</v>
      </c>
      <c r="I10" t="s">
        <v>40</v>
      </c>
      <c r="J10" t="s">
        <v>55</v>
      </c>
      <c r="K10" t="s">
        <v>24</v>
      </c>
      <c r="L10" t="s">
        <v>41</v>
      </c>
      <c r="M10">
        <v>1</v>
      </c>
      <c r="N10" t="s">
        <v>49</v>
      </c>
      <c r="O10" s="6" t="str">
        <f>$O$9</f>
        <v>BXX</v>
      </c>
      <c r="P10" t="s">
        <v>1</v>
      </c>
      <c r="Q10" s="6" t="str">
        <f>$A$3&amp;".DI_CL.eng"</f>
        <v>BXX_GEN1_DE1.DI_CL.eng</v>
      </c>
      <c r="R10" t="s">
        <v>1</v>
      </c>
      <c r="S10" s="6" t="str">
        <f>C10</f>
        <v>Sample Generator Control Mode</v>
      </c>
      <c r="T10">
        <v>0</v>
      </c>
      <c r="U10">
        <v>0</v>
      </c>
    </row>
    <row r="11" spans="1:23" x14ac:dyDescent="0.25">
      <c r="A11" s="6" t="str">
        <f>$A$3&amp;"_"&amp;"DI_SS"</f>
        <v>BXX_GEN1_DE1_DI_SS</v>
      </c>
      <c r="B11" s="6" t="str">
        <f t="shared" ref="B11:B32" si="1">$A$3</f>
        <v>BXX_GEN1_DE1</v>
      </c>
      <c r="C11" s="6" t="str">
        <f>$C$3&amp;" Running Status"</f>
        <v>Sample Generator Running Status</v>
      </c>
      <c r="D11" s="4">
        <f t="shared" si="0"/>
        <v>31</v>
      </c>
      <c r="E11" t="s">
        <v>1</v>
      </c>
      <c r="F11" t="s">
        <v>1</v>
      </c>
      <c r="G11" s="1">
        <v>0</v>
      </c>
      <c r="H11" t="s">
        <v>0</v>
      </c>
      <c r="I11" t="s">
        <v>40</v>
      </c>
      <c r="J11" t="s">
        <v>127</v>
      </c>
      <c r="K11" t="s">
        <v>57</v>
      </c>
      <c r="L11" t="s">
        <v>41</v>
      </c>
      <c r="M11">
        <v>1</v>
      </c>
      <c r="N11" t="s">
        <v>49</v>
      </c>
      <c r="O11" s="6" t="str">
        <f t="shared" ref="O11:O24" si="2">$O$9</f>
        <v>BXX</v>
      </c>
      <c r="P11" t="s">
        <v>1</v>
      </c>
      <c r="Q11" s="6" t="str">
        <f>$A$3&amp;".DI_SS.eng"</f>
        <v>BXX_GEN1_DE1.DI_SS.eng</v>
      </c>
      <c r="R11" t="s">
        <v>1</v>
      </c>
      <c r="S11" s="6" t="str">
        <f t="shared" ref="S11:S32" si="3">C11</f>
        <v>Sample Generator Running Status</v>
      </c>
      <c r="T11">
        <v>0</v>
      </c>
      <c r="U11">
        <v>0</v>
      </c>
    </row>
    <row r="12" spans="1:23" x14ac:dyDescent="0.25">
      <c r="A12" s="6" t="str">
        <f>$A$3&amp;"_"&amp;"DA_SS"</f>
        <v>BXX_GEN1_DE1_DA_SS</v>
      </c>
      <c r="B12" s="6" t="str">
        <f t="shared" si="1"/>
        <v>BXX_GEN1_DE1</v>
      </c>
      <c r="C12" s="6" t="str">
        <f>$C$3&amp;" Running Alarm"</f>
        <v>Sample Generator Running Alarm</v>
      </c>
      <c r="D12" s="4">
        <f t="shared" si="0"/>
        <v>30</v>
      </c>
      <c r="E12" t="s">
        <v>0</v>
      </c>
      <c r="F12" t="s">
        <v>1</v>
      </c>
      <c r="G12" s="1">
        <v>0</v>
      </c>
      <c r="H12" t="s">
        <v>0</v>
      </c>
      <c r="I12" t="s">
        <v>40</v>
      </c>
      <c r="J12" t="s">
        <v>127</v>
      </c>
      <c r="K12" t="s">
        <v>57</v>
      </c>
      <c r="L12" t="s">
        <v>42</v>
      </c>
      <c r="M12" s="2">
        <v>63</v>
      </c>
      <c r="N12" t="s">
        <v>49</v>
      </c>
      <c r="O12" s="6" t="str">
        <f t="shared" si="2"/>
        <v>BXX</v>
      </c>
      <c r="P12" t="s">
        <v>1</v>
      </c>
      <c r="Q12" s="6" t="str">
        <f>$A$3&amp;".DA_SS.eng"</f>
        <v>BXX_GEN1_DE1.DA_SS.eng</v>
      </c>
      <c r="R12" t="s">
        <v>1</v>
      </c>
      <c r="S12" s="6" t="str">
        <f t="shared" ref="S12" si="4">C12</f>
        <v>Sample Generator Running Alarm</v>
      </c>
      <c r="T12">
        <v>0</v>
      </c>
      <c r="U12">
        <v>0</v>
      </c>
    </row>
    <row r="13" spans="1:23" x14ac:dyDescent="0.25">
      <c r="A13" s="3" t="str">
        <f>$A$3&amp;"_"&amp;"DA_ES"</f>
        <v>BXX_GEN1_DE1_DA_ES</v>
      </c>
      <c r="B13" s="6" t="str">
        <f t="shared" si="1"/>
        <v>BXX_GEN1_DE1</v>
      </c>
      <c r="C13" s="6" t="str">
        <f>$C$3&amp;" E-Stop"</f>
        <v>Sample Generator E-Stop</v>
      </c>
      <c r="D13" s="4">
        <f t="shared" si="0"/>
        <v>23</v>
      </c>
      <c r="E13" t="s">
        <v>1</v>
      </c>
      <c r="F13" t="s">
        <v>1</v>
      </c>
      <c r="G13">
        <v>0</v>
      </c>
      <c r="H13" t="s">
        <v>0</v>
      </c>
      <c r="I13" t="s">
        <v>40</v>
      </c>
      <c r="J13" t="s">
        <v>50</v>
      </c>
      <c r="K13" t="s">
        <v>51</v>
      </c>
      <c r="L13" t="s">
        <v>42</v>
      </c>
      <c r="M13" s="2">
        <v>63</v>
      </c>
      <c r="N13" t="s">
        <v>49</v>
      </c>
      <c r="O13" s="6" t="str">
        <f t="shared" si="2"/>
        <v>BXX</v>
      </c>
      <c r="P13" t="s">
        <v>1</v>
      </c>
      <c r="Q13" s="6" t="str">
        <f>$A$3&amp;".DA_ES.eng"</f>
        <v>BXX_GEN1_DE1.DA_ES.eng</v>
      </c>
      <c r="R13" t="s">
        <v>1</v>
      </c>
      <c r="S13" s="6" t="str">
        <f t="shared" si="3"/>
        <v>Sample Generator E-Stop</v>
      </c>
      <c r="T13">
        <v>0</v>
      </c>
      <c r="U13">
        <v>0</v>
      </c>
    </row>
    <row r="14" spans="1:23" x14ac:dyDescent="0.25">
      <c r="A14" s="3" t="str">
        <f>$A$3&amp;"_"&amp;"DA_JW"</f>
        <v>BXX_GEN1_DE1_DA_JW</v>
      </c>
      <c r="B14" s="6" t="str">
        <f t="shared" si="1"/>
        <v>BXX_GEN1_DE1</v>
      </c>
      <c r="C14" s="6" t="str">
        <f>$C$3&amp;" Warning"</f>
        <v>Sample Generator Warning</v>
      </c>
      <c r="D14" s="4">
        <f t="shared" si="0"/>
        <v>24</v>
      </c>
      <c r="E14" t="s">
        <v>1</v>
      </c>
      <c r="F14" t="s">
        <v>1</v>
      </c>
      <c r="G14">
        <v>0</v>
      </c>
      <c r="H14" t="s">
        <v>0</v>
      </c>
      <c r="I14" t="s">
        <v>40</v>
      </c>
      <c r="J14" t="s">
        <v>50</v>
      </c>
      <c r="K14" t="s">
        <v>51</v>
      </c>
      <c r="L14" t="s">
        <v>42</v>
      </c>
      <c r="M14" s="2">
        <v>63</v>
      </c>
      <c r="N14" t="s">
        <v>49</v>
      </c>
      <c r="O14" s="6" t="str">
        <f t="shared" si="2"/>
        <v>BXX</v>
      </c>
      <c r="P14" t="s">
        <v>1</v>
      </c>
      <c r="Q14" s="6" t="str">
        <f>$A$3&amp;".DA_JW.eng"</f>
        <v>BXX_GEN1_DE1.DA_JW.eng</v>
      </c>
      <c r="R14" t="s">
        <v>1</v>
      </c>
      <c r="S14" s="6" t="str">
        <f t="shared" si="3"/>
        <v>Sample Generator Warning</v>
      </c>
      <c r="T14">
        <v>0</v>
      </c>
      <c r="U14">
        <v>0</v>
      </c>
    </row>
    <row r="15" spans="1:23" x14ac:dyDescent="0.25">
      <c r="A15" s="3" t="str">
        <f>$A$3&amp;"_"&amp;"DA_GA"</f>
        <v>BXX_GEN1_DE1_DA_GA</v>
      </c>
      <c r="B15" s="6" t="str">
        <f t="shared" si="1"/>
        <v>BXX_GEN1_DE1</v>
      </c>
      <c r="C15" s="6" t="str">
        <f>$C$3&amp;" Fault"</f>
        <v>Sample Generator Fault</v>
      </c>
      <c r="D15" s="4">
        <f t="shared" si="0"/>
        <v>22</v>
      </c>
      <c r="E15" t="s">
        <v>1</v>
      </c>
      <c r="F15" t="s">
        <v>1</v>
      </c>
      <c r="G15">
        <v>0</v>
      </c>
      <c r="H15" t="s">
        <v>0</v>
      </c>
      <c r="I15" t="s">
        <v>40</v>
      </c>
      <c r="J15" t="s">
        <v>50</v>
      </c>
      <c r="K15" t="s">
        <v>51</v>
      </c>
      <c r="L15" t="s">
        <v>42</v>
      </c>
      <c r="M15" s="2">
        <v>95</v>
      </c>
      <c r="N15" t="s">
        <v>49</v>
      </c>
      <c r="O15" s="6" t="str">
        <f t="shared" si="2"/>
        <v>BXX</v>
      </c>
      <c r="P15" t="s">
        <v>1</v>
      </c>
      <c r="Q15" s="6" t="str">
        <f>$A$3&amp;".DA_GA.eng"</f>
        <v>BXX_GEN1_DE1.DA_GA.eng</v>
      </c>
      <c r="R15" t="s">
        <v>1</v>
      </c>
      <c r="S15" s="6" t="str">
        <f t="shared" si="3"/>
        <v>Sample Generator Fault</v>
      </c>
      <c r="T15">
        <v>0</v>
      </c>
      <c r="U15">
        <v>0</v>
      </c>
    </row>
    <row r="16" spans="1:23" x14ac:dyDescent="0.25">
      <c r="A16" s="6" t="str">
        <f>$A$3&amp;"_"&amp;"PB_RT"</f>
        <v>BXX_GEN1_DE1_PB_RT</v>
      </c>
      <c r="B16" s="6" t="str">
        <f t="shared" si="1"/>
        <v>BXX_GEN1_DE1</v>
      </c>
      <c r="C16" s="6" t="str">
        <f>$C$3&amp;" Runtime Reset"</f>
        <v>Sample Generator Runtime Reset</v>
      </c>
      <c r="D16" s="4">
        <f t="shared" si="0"/>
        <v>30</v>
      </c>
      <c r="E16" t="s">
        <v>1</v>
      </c>
      <c r="F16" t="s">
        <v>0</v>
      </c>
      <c r="G16" s="2">
        <v>600</v>
      </c>
      <c r="H16" t="s">
        <v>0</v>
      </c>
      <c r="I16" t="s">
        <v>40</v>
      </c>
      <c r="J16" t="s">
        <v>50</v>
      </c>
      <c r="K16" t="s">
        <v>58</v>
      </c>
      <c r="L16" t="s">
        <v>41</v>
      </c>
      <c r="M16">
        <v>1</v>
      </c>
      <c r="N16" t="s">
        <v>49</v>
      </c>
      <c r="O16" s="6" t="str">
        <f t="shared" si="2"/>
        <v>BXX</v>
      </c>
      <c r="P16" t="s">
        <v>1</v>
      </c>
      <c r="Q16" s="6" t="str">
        <f>$A$3&amp;".PB_RT"</f>
        <v>BXX_GEN1_DE1.PB_RT</v>
      </c>
      <c r="R16" t="s">
        <v>1</v>
      </c>
      <c r="S16" s="6" t="str">
        <f t="shared" si="3"/>
        <v>Sample Generator Runtime Reset</v>
      </c>
      <c r="T16">
        <v>0</v>
      </c>
      <c r="U16">
        <v>0</v>
      </c>
    </row>
    <row r="17" spans="1:21" x14ac:dyDescent="0.25">
      <c r="A17" s="6" t="str">
        <f>$A$3&amp;"_"&amp;"DA_SF"</f>
        <v>BXX_GEN1_DE1_DA_SF</v>
      </c>
      <c r="B17" s="6" t="str">
        <f t="shared" si="1"/>
        <v>BXX_GEN1_DE1</v>
      </c>
      <c r="C17" s="6" t="str">
        <f>$C$3&amp;" Failed To Start"</f>
        <v>Sample Generator Failed To Start</v>
      </c>
      <c r="D17" s="4">
        <f t="shared" si="0"/>
        <v>32</v>
      </c>
      <c r="E17" t="s">
        <v>1</v>
      </c>
      <c r="F17" t="s">
        <v>1</v>
      </c>
      <c r="G17">
        <v>0</v>
      </c>
      <c r="H17" t="s">
        <v>0</v>
      </c>
      <c r="I17" t="s">
        <v>40</v>
      </c>
      <c r="J17" t="s">
        <v>50</v>
      </c>
      <c r="K17" t="s">
        <v>51</v>
      </c>
      <c r="L17" t="s">
        <v>42</v>
      </c>
      <c r="M17" s="2">
        <v>51</v>
      </c>
      <c r="N17" t="s">
        <v>49</v>
      </c>
      <c r="O17" s="6" t="str">
        <f t="shared" si="2"/>
        <v>BXX</v>
      </c>
      <c r="P17" t="s">
        <v>1</v>
      </c>
      <c r="Q17" s="6" t="str">
        <f>$A$3&amp;".DA_SF"</f>
        <v>BXX_GEN1_DE1.DA_SF</v>
      </c>
      <c r="R17" t="s">
        <v>1</v>
      </c>
      <c r="S17" s="6" t="str">
        <f t="shared" si="3"/>
        <v>Sample Generator Failed To Start</v>
      </c>
      <c r="T17">
        <v>0</v>
      </c>
      <c r="U17">
        <v>0</v>
      </c>
    </row>
    <row r="18" spans="1:21" x14ac:dyDescent="0.25">
      <c r="A18" s="6" t="str">
        <f>$A$3&amp;"_"&amp;"DA_XF"</f>
        <v>BXX_GEN1_DE1_DA_XF</v>
      </c>
      <c r="B18" s="6" t="str">
        <f t="shared" si="1"/>
        <v>BXX_GEN1_DE1</v>
      </c>
      <c r="C18" s="6" t="str">
        <f>$C$3&amp;" Failed To Stop"</f>
        <v>Sample Generator Failed To Stop</v>
      </c>
      <c r="D18" s="4">
        <f t="shared" si="0"/>
        <v>31</v>
      </c>
      <c r="E18" t="s">
        <v>1</v>
      </c>
      <c r="F18" t="s">
        <v>1</v>
      </c>
      <c r="G18">
        <v>0</v>
      </c>
      <c r="H18" t="s">
        <v>0</v>
      </c>
      <c r="I18" t="s">
        <v>40</v>
      </c>
      <c r="J18" t="s">
        <v>50</v>
      </c>
      <c r="K18" t="s">
        <v>51</v>
      </c>
      <c r="L18" t="s">
        <v>42</v>
      </c>
      <c r="M18" s="2">
        <v>52</v>
      </c>
      <c r="N18" t="s">
        <v>49</v>
      </c>
      <c r="O18" s="6" t="str">
        <f t="shared" si="2"/>
        <v>BXX</v>
      </c>
      <c r="P18" t="s">
        <v>1</v>
      </c>
      <c r="Q18" s="6" t="str">
        <f>$A$3&amp;".DA_XF"</f>
        <v>BXX_GEN1_DE1.DA_XF</v>
      </c>
      <c r="R18" t="s">
        <v>1</v>
      </c>
      <c r="S18" s="6" t="str">
        <f t="shared" si="3"/>
        <v>Sample Generator Failed To Stop</v>
      </c>
      <c r="T18">
        <v>0</v>
      </c>
      <c r="U18">
        <v>0</v>
      </c>
    </row>
    <row r="19" spans="1:21" x14ac:dyDescent="0.25">
      <c r="A19" s="6" t="str">
        <f>$A$3&amp;"_"&amp;"DA_RM"</f>
        <v>BXX_GEN1_DE1_DA_RM</v>
      </c>
      <c r="B19" s="6" t="str">
        <f t="shared" si="1"/>
        <v>BXX_GEN1_DE1</v>
      </c>
      <c r="C19" s="6" t="str">
        <f>$C$3&amp;" Not in Auto"</f>
        <v>Sample Generator Not in Auto</v>
      </c>
      <c r="D19" s="4">
        <f t="shared" si="0"/>
        <v>28</v>
      </c>
      <c r="E19" t="s">
        <v>1</v>
      </c>
      <c r="F19" t="s">
        <v>1</v>
      </c>
      <c r="G19">
        <v>0</v>
      </c>
      <c r="H19" t="s">
        <v>0</v>
      </c>
      <c r="I19" t="s">
        <v>40</v>
      </c>
      <c r="J19" t="s">
        <v>50</v>
      </c>
      <c r="K19" t="s">
        <v>51</v>
      </c>
      <c r="L19" t="s">
        <v>42</v>
      </c>
      <c r="M19" s="2">
        <v>52</v>
      </c>
      <c r="N19" t="s">
        <v>49</v>
      </c>
      <c r="O19" s="6" t="str">
        <f t="shared" si="2"/>
        <v>BXX</v>
      </c>
      <c r="P19" t="s">
        <v>1</v>
      </c>
      <c r="Q19" s="6" t="str">
        <f>$A$3&amp;".DA_RM"</f>
        <v>BXX_GEN1_DE1.DA_RM</v>
      </c>
      <c r="R19" t="s">
        <v>1</v>
      </c>
      <c r="S19" s="6" t="str">
        <f t="shared" ref="S19" si="5">C19</f>
        <v>Sample Generator Not in Auto</v>
      </c>
      <c r="T19">
        <v>0</v>
      </c>
      <c r="U19">
        <v>0</v>
      </c>
    </row>
    <row r="20" spans="1:21" x14ac:dyDescent="0.25">
      <c r="A20" s="6" t="str">
        <f>$A$3&amp;"_"&amp;"PB_SF"</f>
        <v>BXX_GEN1_DE1_PB_SF</v>
      </c>
      <c r="B20" s="6" t="str">
        <f t="shared" si="1"/>
        <v>BXX_GEN1_DE1</v>
      </c>
      <c r="C20" s="6" t="str">
        <f>$C$3&amp;" Failed To Start Alarm En"</f>
        <v>Sample Generator Failed To Start Alarm En</v>
      </c>
      <c r="D20" s="4">
        <f t="shared" si="0"/>
        <v>41</v>
      </c>
      <c r="E20" t="s">
        <v>1</v>
      </c>
      <c r="F20" t="s">
        <v>0</v>
      </c>
      <c r="G20" s="2">
        <v>600</v>
      </c>
      <c r="H20" t="s">
        <v>0</v>
      </c>
      <c r="I20" t="s">
        <v>40</v>
      </c>
      <c r="J20" t="s">
        <v>52</v>
      </c>
      <c r="K20" t="s">
        <v>53</v>
      </c>
      <c r="L20" t="s">
        <v>41</v>
      </c>
      <c r="M20" s="1">
        <v>1</v>
      </c>
      <c r="N20" t="s">
        <v>49</v>
      </c>
      <c r="O20" s="6" t="str">
        <f t="shared" si="2"/>
        <v>BXX</v>
      </c>
      <c r="P20" t="s">
        <v>1</v>
      </c>
      <c r="Q20" s="6" t="str">
        <f>$A$3&amp;".PB_SF.RE"</f>
        <v>BXX_GEN1_DE1.PB_SF.RE</v>
      </c>
      <c r="R20" t="s">
        <v>1</v>
      </c>
      <c r="S20" s="6" t="str">
        <f t="shared" si="3"/>
        <v>Sample Generator Failed To Start Alarm En</v>
      </c>
      <c r="T20">
        <v>0</v>
      </c>
      <c r="U20">
        <v>0</v>
      </c>
    </row>
    <row r="21" spans="1:21" x14ac:dyDescent="0.25">
      <c r="A21" s="6" t="str">
        <f>$A$3&amp;"_"&amp;"PB_XF"</f>
        <v>BXX_GEN1_DE1_PB_XF</v>
      </c>
      <c r="B21" s="6" t="str">
        <f t="shared" si="1"/>
        <v>BXX_GEN1_DE1</v>
      </c>
      <c r="C21" s="6" t="str">
        <f>$C$3&amp;" Failed To Stop Alarm En"</f>
        <v>Sample Generator Failed To Stop Alarm En</v>
      </c>
      <c r="D21" s="4">
        <f t="shared" si="0"/>
        <v>40</v>
      </c>
      <c r="E21" t="s">
        <v>1</v>
      </c>
      <c r="F21" t="s">
        <v>0</v>
      </c>
      <c r="G21" s="2">
        <v>600</v>
      </c>
      <c r="H21" t="s">
        <v>0</v>
      </c>
      <c r="I21" t="s">
        <v>40</v>
      </c>
      <c r="J21" t="s">
        <v>52</v>
      </c>
      <c r="K21" t="s">
        <v>53</v>
      </c>
      <c r="L21" t="s">
        <v>41</v>
      </c>
      <c r="M21" s="1">
        <v>1</v>
      </c>
      <c r="N21" t="s">
        <v>49</v>
      </c>
      <c r="O21" s="6" t="str">
        <f t="shared" si="2"/>
        <v>BXX</v>
      </c>
      <c r="P21" t="s">
        <v>1</v>
      </c>
      <c r="Q21" s="6" t="str">
        <f>$A$3&amp;".PB_XF.RE"</f>
        <v>BXX_GEN1_DE1.PB_XF.RE</v>
      </c>
      <c r="R21" t="s">
        <v>1</v>
      </c>
      <c r="S21" s="6" t="str">
        <f t="shared" si="3"/>
        <v>Sample Generator Failed To Stop Alarm En</v>
      </c>
      <c r="T21">
        <v>0</v>
      </c>
      <c r="U21">
        <v>0</v>
      </c>
    </row>
    <row r="22" spans="1:21" x14ac:dyDescent="0.25">
      <c r="A22" s="6" t="str">
        <f>$A$3&amp;"_"&amp;"PB_RM"</f>
        <v>BXX_GEN1_DE1_PB_RM</v>
      </c>
      <c r="B22" s="6" t="str">
        <f t="shared" si="1"/>
        <v>BXX_GEN1_DE1</v>
      </c>
      <c r="C22" s="6" t="str">
        <f>$C$3&amp;" Not in Auto Alarm En"</f>
        <v>Sample Generator Not in Auto Alarm En</v>
      </c>
      <c r="D22" s="4">
        <f t="shared" si="0"/>
        <v>37</v>
      </c>
      <c r="E22" t="s">
        <v>1</v>
      </c>
      <c r="F22" t="s">
        <v>0</v>
      </c>
      <c r="G22" s="2">
        <v>600</v>
      </c>
      <c r="H22" t="s">
        <v>0</v>
      </c>
      <c r="I22" t="s">
        <v>40</v>
      </c>
      <c r="J22" t="s">
        <v>52</v>
      </c>
      <c r="K22" t="s">
        <v>53</v>
      </c>
      <c r="L22" t="s">
        <v>42</v>
      </c>
      <c r="M22" s="220">
        <v>1</v>
      </c>
      <c r="N22" t="s">
        <v>49</v>
      </c>
      <c r="O22" s="6" t="str">
        <f t="shared" si="2"/>
        <v>BXX</v>
      </c>
      <c r="P22" t="s">
        <v>1</v>
      </c>
      <c r="Q22" s="6" t="str">
        <f>$A$3&amp;".PB_RM.RE"</f>
        <v>BXX_GEN1_DE1.PB_RM.RE</v>
      </c>
      <c r="R22" t="s">
        <v>1</v>
      </c>
      <c r="S22" s="6" t="str">
        <f t="shared" si="3"/>
        <v>Sample Generator Not in Auto Alarm En</v>
      </c>
      <c r="T22">
        <v>0</v>
      </c>
      <c r="U22">
        <v>0</v>
      </c>
    </row>
    <row r="23" spans="1:21" x14ac:dyDescent="0.25">
      <c r="A23" s="6" t="str">
        <f>$A$3&amp;"_"&amp;"PB_SM"</f>
        <v>BXX_GEN1_DE1_PB_SM</v>
      </c>
      <c r="B23" s="6" t="str">
        <f t="shared" si="1"/>
        <v>BXX_GEN1_DE1</v>
      </c>
      <c r="C23" s="6" t="str">
        <f>$C$3&amp;" Simulate Alarms PB"</f>
        <v>Sample Generator Simulate Alarms PB</v>
      </c>
      <c r="D23" s="4">
        <f t="shared" si="0"/>
        <v>35</v>
      </c>
      <c r="E23" t="s">
        <v>1</v>
      </c>
      <c r="F23" t="s">
        <v>0</v>
      </c>
      <c r="G23" s="2">
        <v>600</v>
      </c>
      <c r="H23" t="s">
        <v>0</v>
      </c>
      <c r="I23" t="s">
        <v>40</v>
      </c>
      <c r="J23" t="s">
        <v>40</v>
      </c>
      <c r="K23" t="s">
        <v>42</v>
      </c>
      <c r="L23" t="s">
        <v>41</v>
      </c>
      <c r="M23" s="1">
        <v>1</v>
      </c>
      <c r="N23" t="s">
        <v>49</v>
      </c>
      <c r="O23" s="6" t="str">
        <f t="shared" si="2"/>
        <v>BXX</v>
      </c>
      <c r="P23" t="s">
        <v>1</v>
      </c>
      <c r="Q23" s="6" t="str">
        <f>$A$3&amp;".PB_SM"</f>
        <v>BXX_GEN1_DE1.PB_SM</v>
      </c>
      <c r="R23" t="s">
        <v>1</v>
      </c>
      <c r="S23" s="6" t="str">
        <f t="shared" si="3"/>
        <v>Sample Generator Simulate Alarms PB</v>
      </c>
      <c r="T23">
        <v>0</v>
      </c>
      <c r="U23">
        <v>0</v>
      </c>
    </row>
    <row r="24" spans="1:21" x14ac:dyDescent="0.25">
      <c r="A24" s="6" t="str">
        <f>$A$3&amp;"_"&amp;"PB_AE"</f>
        <v>BXX_GEN1_DE1_PB_AE</v>
      </c>
      <c r="B24" s="6" t="str">
        <f t="shared" si="1"/>
        <v>BXX_GEN1_DE1</v>
      </c>
      <c r="C24" s="6" t="str">
        <f>$C$3&amp;" Alarm Enable"</f>
        <v>Sample Generator Alarm Enable</v>
      </c>
      <c r="D24" s="4">
        <f t="shared" si="0"/>
        <v>29</v>
      </c>
      <c r="E24" t="s">
        <v>1</v>
      </c>
      <c r="F24" t="s">
        <v>0</v>
      </c>
      <c r="G24" s="2">
        <v>600</v>
      </c>
      <c r="H24" t="s">
        <v>0</v>
      </c>
      <c r="I24" t="s">
        <v>40</v>
      </c>
      <c r="J24" t="s">
        <v>52</v>
      </c>
      <c r="K24" t="s">
        <v>53</v>
      </c>
      <c r="L24" t="s">
        <v>41</v>
      </c>
      <c r="M24">
        <v>1</v>
      </c>
      <c r="N24" t="s">
        <v>49</v>
      </c>
      <c r="O24" s="6" t="str">
        <f t="shared" si="2"/>
        <v>BXX</v>
      </c>
      <c r="P24" t="s">
        <v>1</v>
      </c>
      <c r="Q24" s="6" t="str">
        <f>$A$3&amp;".PB_AE.RE"</f>
        <v>BXX_GEN1_DE1.PB_AE.RE</v>
      </c>
      <c r="R24" t="s">
        <v>1</v>
      </c>
      <c r="S24" s="6" t="str">
        <f t="shared" si="3"/>
        <v>Sample Generator Alarm Enable</v>
      </c>
      <c r="T24">
        <v>0</v>
      </c>
      <c r="U24">
        <v>0</v>
      </c>
    </row>
    <row r="25" spans="1:21" x14ac:dyDescent="0.25">
      <c r="A25" s="3" t="str">
        <f>$A$3&amp;"_"&amp;"PB_SF_DE"</f>
        <v>BXX_GEN1_DE1_PB_SF_DE</v>
      </c>
      <c r="B25" s="6" t="str">
        <f t="shared" si="1"/>
        <v>BXX_GEN1_DE1</v>
      </c>
      <c r="C25" s="6" t="str">
        <f>$C$3 &amp; " Failed To Start Dialer En"</f>
        <v>Sample Generator Failed To Start Dialer En</v>
      </c>
      <c r="D25" s="4">
        <f t="shared" si="0"/>
        <v>42</v>
      </c>
      <c r="E25" t="s">
        <v>1</v>
      </c>
      <c r="F25" t="s">
        <v>0</v>
      </c>
      <c r="G25" s="2">
        <v>600</v>
      </c>
      <c r="H25" t="s">
        <v>0</v>
      </c>
      <c r="I25" t="s">
        <v>40</v>
      </c>
      <c r="J25" t="s">
        <v>52</v>
      </c>
      <c r="K25" t="s">
        <v>53</v>
      </c>
      <c r="L25" t="s">
        <v>41</v>
      </c>
      <c r="M25">
        <v>1</v>
      </c>
      <c r="N25" t="s">
        <v>49</v>
      </c>
      <c r="O25" s="6" t="str">
        <f t="shared" ref="O25:O32" si="6">$O$10</f>
        <v>BXX</v>
      </c>
      <c r="P25" t="s">
        <v>1</v>
      </c>
      <c r="Q25" s="6" t="str">
        <f>$A$3&amp;".PB_SF.DE"</f>
        <v>BXX_GEN1_DE1.PB_SF.DE</v>
      </c>
      <c r="R25" t="s">
        <v>1</v>
      </c>
      <c r="S25" s="6" t="str">
        <f t="shared" si="3"/>
        <v>Sample Generator Failed To Start Dialer En</v>
      </c>
      <c r="T25">
        <v>0</v>
      </c>
      <c r="U25">
        <v>0</v>
      </c>
    </row>
    <row r="26" spans="1:21" x14ac:dyDescent="0.25">
      <c r="A26" s="3" t="str">
        <f>$A$3&amp;"_"&amp;"PB_XF_DE"</f>
        <v>BXX_GEN1_DE1_PB_XF_DE</v>
      </c>
      <c r="B26" s="6" t="str">
        <f t="shared" si="1"/>
        <v>BXX_GEN1_DE1</v>
      </c>
      <c r="C26" s="6" t="str">
        <f>$C$3 &amp; " Failed to Stop Dialer En"</f>
        <v>Sample Generator Failed to Stop Dialer En</v>
      </c>
      <c r="D26" s="4">
        <f t="shared" si="0"/>
        <v>41</v>
      </c>
      <c r="E26" t="s">
        <v>1</v>
      </c>
      <c r="F26" t="s">
        <v>0</v>
      </c>
      <c r="G26" s="2">
        <v>600</v>
      </c>
      <c r="H26" t="s">
        <v>0</v>
      </c>
      <c r="I26" t="s">
        <v>40</v>
      </c>
      <c r="J26" t="s">
        <v>52</v>
      </c>
      <c r="K26" t="s">
        <v>53</v>
      </c>
      <c r="L26" t="s">
        <v>41</v>
      </c>
      <c r="M26">
        <v>1</v>
      </c>
      <c r="N26" t="s">
        <v>49</v>
      </c>
      <c r="O26" s="6" t="str">
        <f t="shared" si="6"/>
        <v>BXX</v>
      </c>
      <c r="P26" t="s">
        <v>1</v>
      </c>
      <c r="Q26" s="6" t="str">
        <f>$A$3&amp;".PB_XF.DE"</f>
        <v>BXX_GEN1_DE1.PB_XF.DE</v>
      </c>
      <c r="R26" t="s">
        <v>1</v>
      </c>
      <c r="S26" s="6" t="str">
        <f t="shared" si="3"/>
        <v>Sample Generator Failed to Stop Dialer En</v>
      </c>
      <c r="T26">
        <v>0</v>
      </c>
      <c r="U26">
        <v>0</v>
      </c>
    </row>
    <row r="27" spans="1:21" x14ac:dyDescent="0.25">
      <c r="A27" s="3" t="str">
        <f>$A$3&amp;"_"&amp;"PB_RM_DE"</f>
        <v>BXX_GEN1_DE1_PB_RM_DE</v>
      </c>
      <c r="B27" s="6" t="str">
        <f t="shared" si="1"/>
        <v>BXX_GEN1_DE1</v>
      </c>
      <c r="C27" s="6" t="str">
        <f>$C$3 &amp; " Not In Auto Dialer En"</f>
        <v>Sample Generator Not In Auto Dialer En</v>
      </c>
      <c r="D27" s="4">
        <f t="shared" si="0"/>
        <v>38</v>
      </c>
      <c r="E27" t="s">
        <v>1</v>
      </c>
      <c r="F27" t="s">
        <v>0</v>
      </c>
      <c r="G27" s="2">
        <v>600</v>
      </c>
      <c r="H27" t="s">
        <v>0</v>
      </c>
      <c r="I27" t="s">
        <v>40</v>
      </c>
      <c r="J27" t="s">
        <v>52</v>
      </c>
      <c r="K27" t="s">
        <v>53</v>
      </c>
      <c r="L27" t="s">
        <v>41</v>
      </c>
      <c r="M27">
        <v>1</v>
      </c>
      <c r="N27" t="s">
        <v>49</v>
      </c>
      <c r="O27" s="6" t="str">
        <f t="shared" si="6"/>
        <v>BXX</v>
      </c>
      <c r="P27" t="s">
        <v>1</v>
      </c>
      <c r="Q27" s="6" t="str">
        <f>$A$3&amp;".PB_RM.DE"</f>
        <v>BXX_GEN1_DE1.PB_RM.DE</v>
      </c>
      <c r="R27" t="s">
        <v>1</v>
      </c>
      <c r="S27" s="6" t="str">
        <f t="shared" ref="S27" si="7">C27</f>
        <v>Sample Generator Not In Auto Dialer En</v>
      </c>
      <c r="T27">
        <v>0</v>
      </c>
      <c r="U27">
        <v>0</v>
      </c>
    </row>
    <row r="28" spans="1:21" x14ac:dyDescent="0.25">
      <c r="A28" s="3" t="str">
        <f>$A$3&amp;"_"&amp;"PB_AE_DE"</f>
        <v>BXX_GEN1_DE1_PB_AE_DE</v>
      </c>
      <c r="B28" s="6" t="str">
        <f t="shared" si="1"/>
        <v>BXX_GEN1_DE1</v>
      </c>
      <c r="C28" s="6" t="str">
        <f>$C$3 &amp; " Alarms Dialer Enable"</f>
        <v>Sample Generator Alarms Dialer Enable</v>
      </c>
      <c r="D28" s="4">
        <f t="shared" si="0"/>
        <v>37</v>
      </c>
      <c r="E28" t="s">
        <v>1</v>
      </c>
      <c r="F28" t="s">
        <v>0</v>
      </c>
      <c r="G28" s="2">
        <v>600</v>
      </c>
      <c r="H28" t="s">
        <v>0</v>
      </c>
      <c r="I28" t="s">
        <v>40</v>
      </c>
      <c r="J28" t="s">
        <v>52</v>
      </c>
      <c r="K28" t="s">
        <v>53</v>
      </c>
      <c r="L28" t="s">
        <v>41</v>
      </c>
      <c r="M28">
        <v>1</v>
      </c>
      <c r="N28" t="s">
        <v>49</v>
      </c>
      <c r="O28" s="6" t="str">
        <f t="shared" si="6"/>
        <v>BXX</v>
      </c>
      <c r="P28" t="s">
        <v>1</v>
      </c>
      <c r="Q28" s="6" t="str">
        <f>$A$3&amp;".PB_AE.DE"</f>
        <v>BXX_GEN1_DE1.PB_AE.DE</v>
      </c>
      <c r="R28" t="s">
        <v>1</v>
      </c>
      <c r="S28" s="6" t="str">
        <f t="shared" si="3"/>
        <v>Sample Generator Alarms Dialer Enable</v>
      </c>
      <c r="T28">
        <v>0</v>
      </c>
      <c r="U28">
        <v>0</v>
      </c>
    </row>
    <row r="29" spans="1:21" x14ac:dyDescent="0.25">
      <c r="A29" s="3" t="str">
        <f>$A$3&amp;"_"&amp;"PB_SF_SR"</f>
        <v>BXX_GEN1_DE1_PB_SF_SR</v>
      </c>
      <c r="B29" s="6" t="str">
        <f t="shared" si="1"/>
        <v>BXX_GEN1_DE1</v>
      </c>
      <c r="C29" s="6" t="str">
        <f>$C$3 &amp; " Failed To Start Sup En"</f>
        <v>Sample Generator Failed To Start Sup En</v>
      </c>
      <c r="D29" s="4">
        <f t="shared" si="0"/>
        <v>39</v>
      </c>
      <c r="E29" t="s">
        <v>1</v>
      </c>
      <c r="F29" t="s">
        <v>0</v>
      </c>
      <c r="G29" s="2">
        <v>600</v>
      </c>
      <c r="H29" t="s">
        <v>0</v>
      </c>
      <c r="I29" t="s">
        <v>40</v>
      </c>
      <c r="J29" t="s">
        <v>52</v>
      </c>
      <c r="K29" t="s">
        <v>53</v>
      </c>
      <c r="L29" t="s">
        <v>41</v>
      </c>
      <c r="M29">
        <v>1</v>
      </c>
      <c r="N29" t="s">
        <v>49</v>
      </c>
      <c r="O29" s="6" t="str">
        <f t="shared" si="6"/>
        <v>BXX</v>
      </c>
      <c r="P29" t="s">
        <v>1</v>
      </c>
      <c r="Q29" s="6" t="str">
        <f>$A$3&amp;".PB_SF.SR"</f>
        <v>BXX_GEN1_DE1.PB_SF.SR</v>
      </c>
      <c r="R29" t="s">
        <v>1</v>
      </c>
      <c r="S29" s="6" t="str">
        <f t="shared" si="3"/>
        <v>Sample Generator Failed To Start Sup En</v>
      </c>
      <c r="T29">
        <v>0</v>
      </c>
      <c r="U29">
        <v>0</v>
      </c>
    </row>
    <row r="30" spans="1:21" x14ac:dyDescent="0.25">
      <c r="A30" s="3" t="str">
        <f>$A$3&amp;"_"&amp;"PB_XF_SR"</f>
        <v>BXX_GEN1_DE1_PB_XF_SR</v>
      </c>
      <c r="B30" s="6" t="str">
        <f t="shared" si="1"/>
        <v>BXX_GEN1_DE1</v>
      </c>
      <c r="C30" s="6" t="str">
        <f>$C$3 &amp; " Failed To Stop Sup En"</f>
        <v>Sample Generator Failed To Stop Sup En</v>
      </c>
      <c r="D30" s="4">
        <f t="shared" si="0"/>
        <v>38</v>
      </c>
      <c r="E30" t="s">
        <v>1</v>
      </c>
      <c r="F30" t="s">
        <v>0</v>
      </c>
      <c r="G30" s="2">
        <v>600</v>
      </c>
      <c r="H30" t="s">
        <v>0</v>
      </c>
      <c r="I30" t="s">
        <v>40</v>
      </c>
      <c r="J30" t="s">
        <v>52</v>
      </c>
      <c r="K30" t="s">
        <v>53</v>
      </c>
      <c r="L30" t="s">
        <v>41</v>
      </c>
      <c r="M30">
        <v>1</v>
      </c>
      <c r="N30" t="s">
        <v>49</v>
      </c>
      <c r="O30" s="6" t="str">
        <f t="shared" si="6"/>
        <v>BXX</v>
      </c>
      <c r="P30" t="s">
        <v>1</v>
      </c>
      <c r="Q30" s="6" t="str">
        <f>$A$3&amp;".PB_XF.SR"</f>
        <v>BXX_GEN1_DE1.PB_XF.SR</v>
      </c>
      <c r="R30" t="s">
        <v>1</v>
      </c>
      <c r="S30" s="6" t="str">
        <f t="shared" si="3"/>
        <v>Sample Generator Failed To Stop Sup En</v>
      </c>
      <c r="T30">
        <v>0</v>
      </c>
      <c r="U30">
        <v>0</v>
      </c>
    </row>
    <row r="31" spans="1:21" x14ac:dyDescent="0.25">
      <c r="A31" s="3" t="str">
        <f>$A$3&amp;"_"&amp;"PB_RM_SR"</f>
        <v>BXX_GEN1_DE1_PB_RM_SR</v>
      </c>
      <c r="B31" s="6" t="str">
        <f t="shared" si="1"/>
        <v>BXX_GEN1_DE1</v>
      </c>
      <c r="C31" s="6" t="str">
        <f>$C$3 &amp; " Not In Auto Sup En"</f>
        <v>Sample Generator Not In Auto Sup En</v>
      </c>
      <c r="D31" s="4">
        <f t="shared" si="0"/>
        <v>35</v>
      </c>
      <c r="E31" t="s">
        <v>1</v>
      </c>
      <c r="F31" t="s">
        <v>0</v>
      </c>
      <c r="G31" s="2">
        <v>600</v>
      </c>
      <c r="H31" t="s">
        <v>0</v>
      </c>
      <c r="I31" t="s">
        <v>40</v>
      </c>
      <c r="J31" t="s">
        <v>52</v>
      </c>
      <c r="K31" t="s">
        <v>53</v>
      </c>
      <c r="L31" t="s">
        <v>41</v>
      </c>
      <c r="M31">
        <v>1</v>
      </c>
      <c r="N31" t="s">
        <v>49</v>
      </c>
      <c r="O31" s="6" t="str">
        <f t="shared" si="6"/>
        <v>BXX</v>
      </c>
      <c r="P31" t="s">
        <v>1</v>
      </c>
      <c r="Q31" s="6" t="str">
        <f>$A$3&amp;".PB_RM.SR"</f>
        <v>BXX_GEN1_DE1.PB_RM.SR</v>
      </c>
      <c r="R31" t="s">
        <v>1</v>
      </c>
      <c r="S31" s="6" t="str">
        <f t="shared" si="3"/>
        <v>Sample Generator Not In Auto Sup En</v>
      </c>
      <c r="T31">
        <v>0</v>
      </c>
      <c r="U31">
        <v>0</v>
      </c>
    </row>
    <row r="32" spans="1:21" x14ac:dyDescent="0.25">
      <c r="A32" s="3" t="str">
        <f>$A$3&amp;"_"&amp;"PB_AE_SR"</f>
        <v>BXX_GEN1_DE1_PB_AE_SR</v>
      </c>
      <c r="B32" s="6" t="str">
        <f t="shared" si="1"/>
        <v>BXX_GEN1_DE1</v>
      </c>
      <c r="C32" s="6" t="str">
        <f>$C$3 &amp; " Alarms Sup Enable"</f>
        <v>Sample Generator Alarms Sup Enable</v>
      </c>
      <c r="D32" s="4">
        <f t="shared" si="0"/>
        <v>34</v>
      </c>
      <c r="E32" t="s">
        <v>1</v>
      </c>
      <c r="F32" t="s">
        <v>0</v>
      </c>
      <c r="G32" s="2">
        <v>600</v>
      </c>
      <c r="H32" t="s">
        <v>0</v>
      </c>
      <c r="I32" t="s">
        <v>40</v>
      </c>
      <c r="J32" t="s">
        <v>52</v>
      </c>
      <c r="K32" t="s">
        <v>53</v>
      </c>
      <c r="L32" t="s">
        <v>41</v>
      </c>
      <c r="M32">
        <v>1</v>
      </c>
      <c r="N32" t="s">
        <v>49</v>
      </c>
      <c r="O32" s="6" t="str">
        <f t="shared" si="6"/>
        <v>BXX</v>
      </c>
      <c r="P32" t="s">
        <v>1</v>
      </c>
      <c r="Q32" s="6" t="str">
        <f>$A$3&amp;".PB_AE.SR"</f>
        <v>BXX_GEN1_DE1.PB_AE.SR</v>
      </c>
      <c r="R32" t="s">
        <v>1</v>
      </c>
      <c r="S32" s="6" t="str">
        <f t="shared" si="3"/>
        <v>Sample Generator Alarms Sup Enable</v>
      </c>
      <c r="T32">
        <v>0</v>
      </c>
      <c r="U32">
        <v>0</v>
      </c>
    </row>
    <row r="33" spans="1:64" x14ac:dyDescent="0.25">
      <c r="A33" s="3" t="str">
        <f>$A$3&amp;"_"&amp;"PB_ES_RE"</f>
        <v>BXX_GEN1_DE1_PB_ES_RE</v>
      </c>
      <c r="B33" s="6" t="str">
        <f t="shared" ref="B33:B41" si="8">$A$3</f>
        <v>BXX_GEN1_DE1</v>
      </c>
      <c r="C33" s="6" t="str">
        <f>$C$3&amp;" E-Stop Enable"</f>
        <v>Sample Generator E-Stop Enable</v>
      </c>
      <c r="D33" s="4">
        <f t="shared" si="0"/>
        <v>30</v>
      </c>
      <c r="E33" t="s">
        <v>1</v>
      </c>
      <c r="F33" t="s">
        <v>0</v>
      </c>
      <c r="G33" s="2">
        <v>600</v>
      </c>
      <c r="H33" t="s">
        <v>0</v>
      </c>
      <c r="I33" t="s">
        <v>40</v>
      </c>
      <c r="J33" t="s">
        <v>52</v>
      </c>
      <c r="K33" t="s">
        <v>53</v>
      </c>
      <c r="L33" t="s">
        <v>41</v>
      </c>
      <c r="M33">
        <v>1</v>
      </c>
      <c r="N33" t="s">
        <v>49</v>
      </c>
      <c r="O33" s="6" t="str">
        <f t="shared" ref="O33:O41" si="9">$O$9</f>
        <v>BXX</v>
      </c>
      <c r="P33" t="s">
        <v>1</v>
      </c>
      <c r="Q33" s="6" t="str">
        <f>$A$3&amp;".DA_ES.RE"</f>
        <v>BXX_GEN1_DE1.DA_ES.RE</v>
      </c>
      <c r="R33" t="s">
        <v>1</v>
      </c>
      <c r="S33" s="6" t="str">
        <f t="shared" ref="S33:S41" si="10">C33</f>
        <v>Sample Generator E-Stop Enable</v>
      </c>
      <c r="T33">
        <v>0</v>
      </c>
      <c r="U33">
        <v>0</v>
      </c>
    </row>
    <row r="34" spans="1:64" x14ac:dyDescent="0.25">
      <c r="A34" s="3" t="str">
        <f>$A$3&amp;"_"&amp;"PB_JW_RE"</f>
        <v>BXX_GEN1_DE1_PB_JW_RE</v>
      </c>
      <c r="B34" s="6" t="str">
        <f t="shared" si="8"/>
        <v>BXX_GEN1_DE1</v>
      </c>
      <c r="C34" s="6" t="str">
        <f>$C$3&amp;" Warning Enable"</f>
        <v>Sample Generator Warning Enable</v>
      </c>
      <c r="D34" s="4">
        <f t="shared" si="0"/>
        <v>31</v>
      </c>
      <c r="E34" t="s">
        <v>1</v>
      </c>
      <c r="F34" t="s">
        <v>0</v>
      </c>
      <c r="G34" s="2">
        <v>600</v>
      </c>
      <c r="H34" t="s">
        <v>0</v>
      </c>
      <c r="I34" t="s">
        <v>40</v>
      </c>
      <c r="J34" t="s">
        <v>52</v>
      </c>
      <c r="K34" t="s">
        <v>53</v>
      </c>
      <c r="L34" t="s">
        <v>41</v>
      </c>
      <c r="M34">
        <v>1</v>
      </c>
      <c r="N34" t="s">
        <v>49</v>
      </c>
      <c r="O34" s="6" t="str">
        <f t="shared" si="9"/>
        <v>BXX</v>
      </c>
      <c r="P34" t="s">
        <v>1</v>
      </c>
      <c r="Q34" s="6" t="str">
        <f>$A$3&amp;".DA_JW.RE"</f>
        <v>BXX_GEN1_DE1.DA_JW.RE</v>
      </c>
      <c r="R34" t="s">
        <v>1</v>
      </c>
      <c r="S34" s="6" t="str">
        <f t="shared" si="10"/>
        <v>Sample Generator Warning Enable</v>
      </c>
      <c r="T34">
        <v>0</v>
      </c>
      <c r="U34">
        <v>0</v>
      </c>
    </row>
    <row r="35" spans="1:64" x14ac:dyDescent="0.25">
      <c r="A35" s="3" t="str">
        <f>$A$3&amp;"_"&amp;"PB_GA_RE"</f>
        <v>BXX_GEN1_DE1_PB_GA_RE</v>
      </c>
      <c r="B35" s="6" t="str">
        <f t="shared" si="8"/>
        <v>BXX_GEN1_DE1</v>
      </c>
      <c r="C35" s="6" t="str">
        <f>$C$3&amp;" Fault Enable"</f>
        <v>Sample Generator Fault Enable</v>
      </c>
      <c r="D35" s="4">
        <f t="shared" si="0"/>
        <v>29</v>
      </c>
      <c r="E35" t="s">
        <v>1</v>
      </c>
      <c r="F35" t="s">
        <v>0</v>
      </c>
      <c r="G35" s="2">
        <v>600</v>
      </c>
      <c r="H35" t="s">
        <v>0</v>
      </c>
      <c r="I35" t="s">
        <v>40</v>
      </c>
      <c r="J35" t="s">
        <v>52</v>
      </c>
      <c r="K35" t="s">
        <v>53</v>
      </c>
      <c r="L35" t="s">
        <v>41</v>
      </c>
      <c r="M35">
        <v>1</v>
      </c>
      <c r="N35" t="s">
        <v>49</v>
      </c>
      <c r="O35" s="6" t="str">
        <f t="shared" si="9"/>
        <v>BXX</v>
      </c>
      <c r="P35" t="s">
        <v>1</v>
      </c>
      <c r="Q35" s="6" t="str">
        <f>$A$3&amp;".DA_GA.RE"</f>
        <v>BXX_GEN1_DE1.DA_GA.RE</v>
      </c>
      <c r="R35" t="s">
        <v>1</v>
      </c>
      <c r="S35" s="6" t="str">
        <f t="shared" si="10"/>
        <v>Sample Generator Fault Enable</v>
      </c>
      <c r="T35">
        <v>0</v>
      </c>
      <c r="U35">
        <v>0</v>
      </c>
    </row>
    <row r="36" spans="1:64" x14ac:dyDescent="0.25">
      <c r="A36" s="3" t="str">
        <f>$A$3&amp;"_"&amp;"PB_ES_DE"</f>
        <v>BXX_GEN1_DE1_PB_ES_DE</v>
      </c>
      <c r="B36" s="6" t="str">
        <f t="shared" si="8"/>
        <v>BXX_GEN1_DE1</v>
      </c>
      <c r="C36" s="6" t="str">
        <f>$C$3&amp;" E-Stop Dialer Enable"</f>
        <v>Sample Generator E-Stop Dialer Enable</v>
      </c>
      <c r="D36" s="4">
        <f t="shared" si="0"/>
        <v>37</v>
      </c>
      <c r="E36" t="s">
        <v>1</v>
      </c>
      <c r="F36" t="s">
        <v>0</v>
      </c>
      <c r="G36" s="2">
        <v>600</v>
      </c>
      <c r="H36" t="s">
        <v>0</v>
      </c>
      <c r="I36" t="s">
        <v>40</v>
      </c>
      <c r="J36" t="s">
        <v>52</v>
      </c>
      <c r="K36" t="s">
        <v>53</v>
      </c>
      <c r="L36" t="s">
        <v>41</v>
      </c>
      <c r="M36">
        <v>1</v>
      </c>
      <c r="N36" t="s">
        <v>49</v>
      </c>
      <c r="O36" s="6" t="str">
        <f t="shared" si="9"/>
        <v>BXX</v>
      </c>
      <c r="P36" t="s">
        <v>1</v>
      </c>
      <c r="Q36" s="6" t="str">
        <f>$A$3&amp;".DA_ES.DE"</f>
        <v>BXX_GEN1_DE1.DA_ES.DE</v>
      </c>
      <c r="R36" t="s">
        <v>1</v>
      </c>
      <c r="S36" s="6" t="str">
        <f t="shared" si="10"/>
        <v>Sample Generator E-Stop Dialer Enable</v>
      </c>
      <c r="T36">
        <v>0</v>
      </c>
      <c r="U36">
        <v>0</v>
      </c>
    </row>
    <row r="37" spans="1:64" x14ac:dyDescent="0.25">
      <c r="A37" s="3" t="str">
        <f>$A$3&amp;"_"&amp;"PB_JW_DE"</f>
        <v>BXX_GEN1_DE1_PB_JW_DE</v>
      </c>
      <c r="B37" s="6" t="str">
        <f t="shared" si="8"/>
        <v>BXX_GEN1_DE1</v>
      </c>
      <c r="C37" s="6" t="str">
        <f>$C$3&amp;" Warning Dialer Enable"</f>
        <v>Sample Generator Warning Dialer Enable</v>
      </c>
      <c r="D37" s="4">
        <f t="shared" si="0"/>
        <v>38</v>
      </c>
      <c r="E37" t="s">
        <v>1</v>
      </c>
      <c r="F37" t="s">
        <v>0</v>
      </c>
      <c r="G37" s="2">
        <v>600</v>
      </c>
      <c r="H37" t="s">
        <v>0</v>
      </c>
      <c r="I37" t="s">
        <v>40</v>
      </c>
      <c r="J37" t="s">
        <v>52</v>
      </c>
      <c r="K37" t="s">
        <v>53</v>
      </c>
      <c r="L37" t="s">
        <v>41</v>
      </c>
      <c r="M37">
        <v>1</v>
      </c>
      <c r="N37" t="s">
        <v>49</v>
      </c>
      <c r="O37" s="6" t="str">
        <f t="shared" si="9"/>
        <v>BXX</v>
      </c>
      <c r="P37" t="s">
        <v>1</v>
      </c>
      <c r="Q37" s="6" t="str">
        <f>$A$3&amp;".DA_JW.DE"</f>
        <v>BXX_GEN1_DE1.DA_JW.DE</v>
      </c>
      <c r="R37" t="s">
        <v>1</v>
      </c>
      <c r="S37" s="6" t="str">
        <f t="shared" si="10"/>
        <v>Sample Generator Warning Dialer Enable</v>
      </c>
      <c r="T37">
        <v>0</v>
      </c>
      <c r="U37">
        <v>0</v>
      </c>
    </row>
    <row r="38" spans="1:64" x14ac:dyDescent="0.25">
      <c r="A38" s="3" t="str">
        <f>$A$3&amp;"_"&amp;"PB_GA_DE"</f>
        <v>BXX_GEN1_DE1_PB_GA_DE</v>
      </c>
      <c r="B38" s="6" t="str">
        <f t="shared" si="8"/>
        <v>BXX_GEN1_DE1</v>
      </c>
      <c r="C38" s="6" t="str">
        <f>$C$3&amp;" Fault Dialer Enable"</f>
        <v>Sample Generator Fault Dialer Enable</v>
      </c>
      <c r="D38" s="4">
        <f t="shared" si="0"/>
        <v>36</v>
      </c>
      <c r="E38" t="s">
        <v>1</v>
      </c>
      <c r="F38" t="s">
        <v>0</v>
      </c>
      <c r="G38" s="2">
        <v>600</v>
      </c>
      <c r="H38" t="s">
        <v>0</v>
      </c>
      <c r="I38" t="s">
        <v>40</v>
      </c>
      <c r="J38" t="s">
        <v>52</v>
      </c>
      <c r="K38" t="s">
        <v>53</v>
      </c>
      <c r="L38" t="s">
        <v>41</v>
      </c>
      <c r="M38">
        <v>1</v>
      </c>
      <c r="N38" t="s">
        <v>49</v>
      </c>
      <c r="O38" s="6" t="str">
        <f t="shared" si="9"/>
        <v>BXX</v>
      </c>
      <c r="P38" t="s">
        <v>1</v>
      </c>
      <c r="Q38" s="6" t="str">
        <f>$A$3&amp;".DA_GA.DE"</f>
        <v>BXX_GEN1_DE1.DA_GA.DE</v>
      </c>
      <c r="R38" t="s">
        <v>1</v>
      </c>
      <c r="S38" s="6" t="str">
        <f t="shared" si="10"/>
        <v>Sample Generator Fault Dialer Enable</v>
      </c>
      <c r="T38">
        <v>0</v>
      </c>
      <c r="U38">
        <v>0</v>
      </c>
    </row>
    <row r="39" spans="1:64" x14ac:dyDescent="0.25">
      <c r="A39" s="3" t="str">
        <f>$A$3&amp;"_"&amp;"PB_ES_SR"</f>
        <v>BXX_GEN1_DE1_PB_ES_SR</v>
      </c>
      <c r="B39" s="6" t="str">
        <f t="shared" si="8"/>
        <v>BXX_GEN1_DE1</v>
      </c>
      <c r="C39" s="6" t="str">
        <f>$C$3&amp;" E-Stop Sup Enable"</f>
        <v>Sample Generator E-Stop Sup Enable</v>
      </c>
      <c r="D39" s="4">
        <f t="shared" si="0"/>
        <v>34</v>
      </c>
      <c r="E39" t="s">
        <v>1</v>
      </c>
      <c r="F39" t="s">
        <v>0</v>
      </c>
      <c r="G39" s="2">
        <v>600</v>
      </c>
      <c r="H39" t="s">
        <v>0</v>
      </c>
      <c r="I39" t="s">
        <v>40</v>
      </c>
      <c r="J39" t="s">
        <v>52</v>
      </c>
      <c r="K39" t="s">
        <v>53</v>
      </c>
      <c r="L39" t="s">
        <v>41</v>
      </c>
      <c r="M39">
        <v>1</v>
      </c>
      <c r="N39" t="s">
        <v>49</v>
      </c>
      <c r="O39" s="6" t="str">
        <f t="shared" si="9"/>
        <v>BXX</v>
      </c>
      <c r="P39" t="s">
        <v>1</v>
      </c>
      <c r="Q39" s="6" t="str">
        <f>$A$3&amp;".DA_ES.SR"</f>
        <v>BXX_GEN1_DE1.DA_ES.SR</v>
      </c>
      <c r="R39" t="s">
        <v>1</v>
      </c>
      <c r="S39" s="6" t="str">
        <f t="shared" si="10"/>
        <v>Sample Generator E-Stop Sup Enable</v>
      </c>
      <c r="T39">
        <v>0</v>
      </c>
      <c r="U39">
        <v>0</v>
      </c>
    </row>
    <row r="40" spans="1:64" x14ac:dyDescent="0.25">
      <c r="A40" s="3" t="str">
        <f>$A$3&amp;"_"&amp;"PB_JW_SR"</f>
        <v>BXX_GEN1_DE1_PB_JW_SR</v>
      </c>
      <c r="B40" s="6" t="str">
        <f t="shared" si="8"/>
        <v>BXX_GEN1_DE1</v>
      </c>
      <c r="C40" s="6" t="str">
        <f>$C$3&amp;" Warning Sup Enable"</f>
        <v>Sample Generator Warning Sup Enable</v>
      </c>
      <c r="D40" s="4">
        <f t="shared" si="0"/>
        <v>35</v>
      </c>
      <c r="E40" t="s">
        <v>1</v>
      </c>
      <c r="F40" t="s">
        <v>0</v>
      </c>
      <c r="G40" s="2">
        <v>600</v>
      </c>
      <c r="H40" t="s">
        <v>0</v>
      </c>
      <c r="I40" t="s">
        <v>40</v>
      </c>
      <c r="J40" t="s">
        <v>52</v>
      </c>
      <c r="K40" t="s">
        <v>53</v>
      </c>
      <c r="L40" t="s">
        <v>41</v>
      </c>
      <c r="M40">
        <v>1</v>
      </c>
      <c r="N40" t="s">
        <v>49</v>
      </c>
      <c r="O40" s="6" t="str">
        <f t="shared" si="9"/>
        <v>BXX</v>
      </c>
      <c r="P40" t="s">
        <v>1</v>
      </c>
      <c r="Q40" s="6" t="str">
        <f>$A$3&amp;".DA_JW.SR"</f>
        <v>BXX_GEN1_DE1.DA_JW.SR</v>
      </c>
      <c r="R40" t="s">
        <v>1</v>
      </c>
      <c r="S40" s="6" t="str">
        <f t="shared" si="10"/>
        <v>Sample Generator Warning Sup Enable</v>
      </c>
      <c r="T40">
        <v>0</v>
      </c>
      <c r="U40">
        <v>0</v>
      </c>
    </row>
    <row r="41" spans="1:64" x14ac:dyDescent="0.25">
      <c r="A41" s="3" t="str">
        <f>$A$3&amp;"_"&amp;"PB_GA_SR"</f>
        <v>BXX_GEN1_DE1_PB_GA_SR</v>
      </c>
      <c r="B41" s="6" t="str">
        <f t="shared" si="8"/>
        <v>BXX_GEN1_DE1</v>
      </c>
      <c r="C41" s="6" t="str">
        <f>$C$3&amp;" Fault Sup Enable"</f>
        <v>Sample Generator Fault Sup Enable</v>
      </c>
      <c r="D41" s="4">
        <f t="shared" si="0"/>
        <v>33</v>
      </c>
      <c r="E41" t="s">
        <v>1</v>
      </c>
      <c r="F41" t="s">
        <v>0</v>
      </c>
      <c r="G41" s="2">
        <v>600</v>
      </c>
      <c r="H41" t="s">
        <v>0</v>
      </c>
      <c r="I41" t="s">
        <v>40</v>
      </c>
      <c r="J41" t="s">
        <v>52</v>
      </c>
      <c r="K41" t="s">
        <v>53</v>
      </c>
      <c r="L41" t="s">
        <v>41</v>
      </c>
      <c r="M41">
        <v>1</v>
      </c>
      <c r="N41" t="s">
        <v>49</v>
      </c>
      <c r="O41" s="6" t="str">
        <f t="shared" si="9"/>
        <v>BXX</v>
      </c>
      <c r="P41" t="s">
        <v>1</v>
      </c>
      <c r="Q41" s="6" t="str">
        <f>$A$3&amp;".DA_GA.SR"</f>
        <v>BXX_GEN1_DE1.DA_GA.SR</v>
      </c>
      <c r="R41" t="s">
        <v>1</v>
      </c>
      <c r="S41" s="6" t="str">
        <f t="shared" si="10"/>
        <v>Sample Generator Fault Sup Enable</v>
      </c>
      <c r="T41">
        <v>0</v>
      </c>
      <c r="U41">
        <v>0</v>
      </c>
    </row>
    <row r="42" spans="1:64" x14ac:dyDescent="0.25">
      <c r="A42" s="1" t="s">
        <v>100</v>
      </c>
      <c r="B42" t="s">
        <v>4</v>
      </c>
      <c r="C42" t="s">
        <v>5</v>
      </c>
      <c r="D42" s="4">
        <f t="shared" si="0"/>
        <v>7</v>
      </c>
      <c r="E42" t="s">
        <v>30</v>
      </c>
      <c r="F42" t="s">
        <v>6</v>
      </c>
      <c r="G42" t="s">
        <v>7</v>
      </c>
      <c r="H42" t="s">
        <v>31</v>
      </c>
      <c r="I42" t="s">
        <v>66</v>
      </c>
      <c r="J42" t="s">
        <v>67</v>
      </c>
      <c r="K42" t="s">
        <v>68</v>
      </c>
      <c r="L42" t="s">
        <v>69</v>
      </c>
      <c r="M42" t="s">
        <v>70</v>
      </c>
      <c r="N42" t="s">
        <v>101</v>
      </c>
      <c r="O42" t="s">
        <v>102</v>
      </c>
      <c r="P42" t="s">
        <v>73</v>
      </c>
      <c r="Q42" t="s">
        <v>74</v>
      </c>
      <c r="R42" t="s">
        <v>75</v>
      </c>
      <c r="S42" t="s">
        <v>76</v>
      </c>
      <c r="T42" t="s">
        <v>77</v>
      </c>
      <c r="U42" t="s">
        <v>78</v>
      </c>
      <c r="V42" t="s">
        <v>79</v>
      </c>
      <c r="W42" t="s">
        <v>80</v>
      </c>
      <c r="X42" t="s">
        <v>81</v>
      </c>
      <c r="Y42" t="s">
        <v>82</v>
      </c>
      <c r="Z42" t="s">
        <v>83</v>
      </c>
      <c r="AA42" t="s">
        <v>84</v>
      </c>
      <c r="AB42" t="s">
        <v>85</v>
      </c>
      <c r="AC42" t="s">
        <v>86</v>
      </c>
      <c r="AD42" t="s">
        <v>87</v>
      </c>
      <c r="AE42" t="s">
        <v>88</v>
      </c>
      <c r="AF42" t="s">
        <v>89</v>
      </c>
      <c r="AG42" t="s">
        <v>90</v>
      </c>
      <c r="AH42" t="s">
        <v>91</v>
      </c>
      <c r="AI42" t="s">
        <v>92</v>
      </c>
      <c r="AJ42" t="s">
        <v>93</v>
      </c>
      <c r="AK42" t="s">
        <v>94</v>
      </c>
      <c r="AL42" t="s">
        <v>95</v>
      </c>
      <c r="AM42" t="s">
        <v>96</v>
      </c>
      <c r="AN42" t="s">
        <v>97</v>
      </c>
      <c r="AO42" t="s">
        <v>103</v>
      </c>
      <c r="AP42" t="s">
        <v>104</v>
      </c>
      <c r="AQ42" t="s">
        <v>105</v>
      </c>
      <c r="AR42" t="s">
        <v>45</v>
      </c>
      <c r="AS42" t="s">
        <v>46</v>
      </c>
      <c r="AT42" t="s">
        <v>47</v>
      </c>
      <c r="AU42" t="s">
        <v>48</v>
      </c>
      <c r="AV42" t="s">
        <v>37</v>
      </c>
      <c r="AW42" t="s">
        <v>38</v>
      </c>
      <c r="AX42" t="s">
        <v>8</v>
      </c>
      <c r="AY42" t="s">
        <v>9</v>
      </c>
      <c r="AZ42" t="s">
        <v>10</v>
      </c>
      <c r="BA42" t="s">
        <v>11</v>
      </c>
      <c r="BB42" t="s">
        <v>12</v>
      </c>
      <c r="BC42" t="s">
        <v>13</v>
      </c>
      <c r="BD42" t="s">
        <v>14</v>
      </c>
      <c r="BE42" t="s">
        <v>16</v>
      </c>
      <c r="BF42" t="s">
        <v>17</v>
      </c>
      <c r="BG42" t="s">
        <v>18</v>
      </c>
      <c r="BH42" t="s">
        <v>19</v>
      </c>
      <c r="BI42" t="s">
        <v>20</v>
      </c>
      <c r="BJ42" t="s">
        <v>21</v>
      </c>
      <c r="BK42" t="s">
        <v>22</v>
      </c>
      <c r="BL42" t="s">
        <v>39</v>
      </c>
    </row>
    <row r="43" spans="1:64" x14ac:dyDescent="0.25">
      <c r="A43" s="3" t="str">
        <f>$A$3&amp;"_"&amp;"AI_TD"</f>
        <v>BXX_GEN1_DE1_AI_TD</v>
      </c>
      <c r="B43" s="6" t="str">
        <f>$A$3</f>
        <v>BXX_GEN1_DE1</v>
      </c>
      <c r="C43" s="6" t="str">
        <f>$C$3&amp;" Starts Today"</f>
        <v>Sample Generator Starts Today</v>
      </c>
      <c r="D43" s="4">
        <f t="shared" si="0"/>
        <v>29</v>
      </c>
      <c r="E43" t="s">
        <v>1</v>
      </c>
      <c r="F43" t="s">
        <v>1</v>
      </c>
      <c r="G43">
        <v>0</v>
      </c>
      <c r="H43" t="s">
        <v>0</v>
      </c>
      <c r="I43" t="s">
        <v>1</v>
      </c>
      <c r="J43">
        <v>0</v>
      </c>
      <c r="K43">
        <v>0</v>
      </c>
      <c r="L43" t="s">
        <v>129</v>
      </c>
      <c r="M43">
        <v>0</v>
      </c>
      <c r="N43">
        <v>0</v>
      </c>
      <c r="O43">
        <v>1000000</v>
      </c>
      <c r="P43">
        <v>0</v>
      </c>
      <c r="Q43">
        <v>0</v>
      </c>
      <c r="R43" t="s">
        <v>40</v>
      </c>
      <c r="S43">
        <v>0</v>
      </c>
      <c r="T43">
        <v>1</v>
      </c>
      <c r="U43" t="s">
        <v>40</v>
      </c>
      <c r="V43">
        <v>0</v>
      </c>
      <c r="W43">
        <v>1</v>
      </c>
      <c r="X43" t="s">
        <v>40</v>
      </c>
      <c r="Y43">
        <v>0</v>
      </c>
      <c r="Z43">
        <v>1</v>
      </c>
      <c r="AA43" t="s">
        <v>40</v>
      </c>
      <c r="AB43">
        <v>0</v>
      </c>
      <c r="AC43">
        <v>1</v>
      </c>
      <c r="AD43" t="s">
        <v>40</v>
      </c>
      <c r="AE43">
        <v>0</v>
      </c>
      <c r="AF43">
        <v>1</v>
      </c>
      <c r="AG43" t="s">
        <v>40</v>
      </c>
      <c r="AH43">
        <v>0</v>
      </c>
      <c r="AI43">
        <v>1</v>
      </c>
      <c r="AJ43">
        <v>0</v>
      </c>
      <c r="AK43" t="s">
        <v>40</v>
      </c>
      <c r="AL43">
        <v>0</v>
      </c>
      <c r="AM43">
        <v>1</v>
      </c>
      <c r="AN43" t="s">
        <v>98</v>
      </c>
      <c r="AO43">
        <v>0</v>
      </c>
      <c r="AP43">
        <v>1000000</v>
      </c>
      <c r="AQ43" t="s">
        <v>106</v>
      </c>
      <c r="AR43" s="6" t="str">
        <f>$O$9</f>
        <v>BXX</v>
      </c>
      <c r="AS43" t="s">
        <v>1</v>
      </c>
      <c r="AT43" s="6" t="str">
        <f>$A$3&amp;".AI_TD"</f>
        <v>BXX_GEN1_DE1.AI_TD</v>
      </c>
      <c r="AU43" t="s">
        <v>1</v>
      </c>
      <c r="AV43" s="6" t="str">
        <f>C43</f>
        <v>Sample Generator Starts Today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</row>
    <row r="44" spans="1:64" x14ac:dyDescent="0.25">
      <c r="A44" s="3" t="str">
        <f>$A$3&amp;"_"&amp;"AI_MT"</f>
        <v>BXX_GEN1_DE1_AI_MT</v>
      </c>
      <c r="B44" s="6" t="str">
        <f>$A$3</f>
        <v>BXX_GEN1_DE1</v>
      </c>
      <c r="C44" s="6" t="str">
        <f>$C$3&amp;" Starts This Month"</f>
        <v>Sample Generator Starts This Month</v>
      </c>
      <c r="D44" s="4">
        <f t="shared" si="0"/>
        <v>34</v>
      </c>
      <c r="E44" t="s">
        <v>1</v>
      </c>
      <c r="F44" t="s">
        <v>1</v>
      </c>
      <c r="G44">
        <v>0</v>
      </c>
      <c r="H44" t="s">
        <v>0</v>
      </c>
      <c r="I44" t="s">
        <v>1</v>
      </c>
      <c r="J44">
        <v>0</v>
      </c>
      <c r="K44">
        <v>0</v>
      </c>
      <c r="L44" t="s">
        <v>129</v>
      </c>
      <c r="M44">
        <v>0</v>
      </c>
      <c r="N44">
        <v>0</v>
      </c>
      <c r="O44">
        <v>1000000</v>
      </c>
      <c r="P44">
        <v>0</v>
      </c>
      <c r="Q44">
        <v>0</v>
      </c>
      <c r="R44" t="s">
        <v>40</v>
      </c>
      <c r="S44">
        <v>0</v>
      </c>
      <c r="T44">
        <v>1</v>
      </c>
      <c r="U44" t="s">
        <v>40</v>
      </c>
      <c r="V44">
        <v>0</v>
      </c>
      <c r="W44">
        <v>1</v>
      </c>
      <c r="X44" t="s">
        <v>40</v>
      </c>
      <c r="Y44">
        <v>0</v>
      </c>
      <c r="Z44">
        <v>1</v>
      </c>
      <c r="AA44" t="s">
        <v>40</v>
      </c>
      <c r="AB44">
        <v>0</v>
      </c>
      <c r="AC44">
        <v>1</v>
      </c>
      <c r="AD44" t="s">
        <v>40</v>
      </c>
      <c r="AE44">
        <v>0</v>
      </c>
      <c r="AF44">
        <v>1</v>
      </c>
      <c r="AG44" t="s">
        <v>40</v>
      </c>
      <c r="AH44">
        <v>0</v>
      </c>
      <c r="AI44">
        <v>1</v>
      </c>
      <c r="AJ44">
        <v>0</v>
      </c>
      <c r="AK44" t="s">
        <v>40</v>
      </c>
      <c r="AL44">
        <v>0</v>
      </c>
      <c r="AM44">
        <v>1</v>
      </c>
      <c r="AN44" t="s">
        <v>98</v>
      </c>
      <c r="AO44">
        <v>0</v>
      </c>
      <c r="AP44">
        <v>1000000</v>
      </c>
      <c r="AQ44" t="s">
        <v>106</v>
      </c>
      <c r="AR44" s="6" t="str">
        <f>$O$9</f>
        <v>BXX</v>
      </c>
      <c r="AS44" t="s">
        <v>1</v>
      </c>
      <c r="AT44" s="6" t="str">
        <f>$A$3&amp;".AI_MT"</f>
        <v>BXX_GEN1_DE1.AI_MT</v>
      </c>
      <c r="AU44" t="s">
        <v>1</v>
      </c>
      <c r="AV44" s="6" t="str">
        <f>C44</f>
        <v>Sample Generator Starts This Month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</row>
    <row r="45" spans="1:64" x14ac:dyDescent="0.25">
      <c r="A45" s="3" t="str">
        <f>$A$3&amp;"_"&amp;"AI_MX"</f>
        <v>BXX_GEN1_DE1_AI_MX</v>
      </c>
      <c r="B45" s="6" t="str">
        <f>$A$3</f>
        <v>BXX_GEN1_DE1</v>
      </c>
      <c r="C45" s="6" t="str">
        <f>$C$3&amp;" Total Starts"</f>
        <v>Sample Generator Total Starts</v>
      </c>
      <c r="D45" s="4">
        <f t="shared" si="0"/>
        <v>29</v>
      </c>
      <c r="E45" t="s">
        <v>0</v>
      </c>
      <c r="F45" t="s">
        <v>1</v>
      </c>
      <c r="G45">
        <v>0</v>
      </c>
      <c r="H45" t="s">
        <v>0</v>
      </c>
      <c r="I45" t="s">
        <v>1</v>
      </c>
      <c r="J45">
        <v>0</v>
      </c>
      <c r="K45">
        <v>0</v>
      </c>
      <c r="L45" t="s">
        <v>129</v>
      </c>
      <c r="M45">
        <v>0</v>
      </c>
      <c r="N45">
        <v>0</v>
      </c>
      <c r="O45">
        <v>1000000</v>
      </c>
      <c r="P45">
        <v>0</v>
      </c>
      <c r="Q45">
        <v>1</v>
      </c>
      <c r="R45" t="s">
        <v>40</v>
      </c>
      <c r="S45">
        <v>0</v>
      </c>
      <c r="T45">
        <v>1</v>
      </c>
      <c r="U45" t="s">
        <v>40</v>
      </c>
      <c r="V45">
        <v>0</v>
      </c>
      <c r="W45">
        <v>1</v>
      </c>
      <c r="X45" t="s">
        <v>40</v>
      </c>
      <c r="Y45">
        <v>0</v>
      </c>
      <c r="Z45">
        <v>1</v>
      </c>
      <c r="AA45" t="s">
        <v>40</v>
      </c>
      <c r="AB45">
        <v>0</v>
      </c>
      <c r="AC45">
        <v>1</v>
      </c>
      <c r="AD45" t="s">
        <v>40</v>
      </c>
      <c r="AE45">
        <v>0</v>
      </c>
      <c r="AF45">
        <v>1</v>
      </c>
      <c r="AG45" t="s">
        <v>40</v>
      </c>
      <c r="AH45">
        <v>0</v>
      </c>
      <c r="AI45">
        <v>1</v>
      </c>
      <c r="AJ45">
        <v>0</v>
      </c>
      <c r="AK45" t="s">
        <v>40</v>
      </c>
      <c r="AL45">
        <v>0</v>
      </c>
      <c r="AM45">
        <v>1</v>
      </c>
      <c r="AN45" t="s">
        <v>98</v>
      </c>
      <c r="AO45">
        <v>0</v>
      </c>
      <c r="AP45">
        <v>1000000</v>
      </c>
      <c r="AQ45" t="s">
        <v>106</v>
      </c>
      <c r="AR45" s="6" t="str">
        <f>$O$9</f>
        <v>BXX</v>
      </c>
      <c r="AS45" t="s">
        <v>1</v>
      </c>
      <c r="AT45" s="6" t="str">
        <f>$A$3&amp;".AI_MX"</f>
        <v>BXX_GEN1_DE1.AI_MX</v>
      </c>
      <c r="AU45" t="s">
        <v>1</v>
      </c>
      <c r="AV45" s="6" t="str">
        <f>C45</f>
        <v>Sample Generator Total Starts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</row>
    <row r="46" spans="1:64" x14ac:dyDescent="0.25">
      <c r="A46" s="1" t="s">
        <v>107</v>
      </c>
      <c r="B46" t="s">
        <v>4</v>
      </c>
      <c r="C46" t="s">
        <v>5</v>
      </c>
      <c r="D46" s="4">
        <f t="shared" si="0"/>
        <v>7</v>
      </c>
      <c r="E46" t="s">
        <v>30</v>
      </c>
      <c r="F46" t="s">
        <v>6</v>
      </c>
      <c r="G46" t="s">
        <v>7</v>
      </c>
      <c r="H46" t="s">
        <v>31</v>
      </c>
      <c r="I46" t="s">
        <v>66</v>
      </c>
      <c r="J46" t="s">
        <v>67</v>
      </c>
      <c r="K46" t="s">
        <v>68</v>
      </c>
      <c r="L46" t="s">
        <v>69</v>
      </c>
      <c r="M46" t="s">
        <v>70</v>
      </c>
      <c r="N46" t="s">
        <v>101</v>
      </c>
      <c r="O46" t="s">
        <v>102</v>
      </c>
      <c r="P46" t="s">
        <v>73</v>
      </c>
      <c r="Q46" t="s">
        <v>74</v>
      </c>
      <c r="R46" t="s">
        <v>75</v>
      </c>
      <c r="S46" t="s">
        <v>76</v>
      </c>
      <c r="T46" t="s">
        <v>77</v>
      </c>
      <c r="U46" t="s">
        <v>78</v>
      </c>
      <c r="V46" t="s">
        <v>79</v>
      </c>
      <c r="W46" t="s">
        <v>80</v>
      </c>
      <c r="X46" t="s">
        <v>81</v>
      </c>
      <c r="Y46" t="s">
        <v>82</v>
      </c>
      <c r="Z46" t="s">
        <v>83</v>
      </c>
      <c r="AA46" t="s">
        <v>84</v>
      </c>
      <c r="AB46" t="s">
        <v>85</v>
      </c>
      <c r="AC46" t="s">
        <v>86</v>
      </c>
      <c r="AD46" t="s">
        <v>87</v>
      </c>
      <c r="AE46" t="s">
        <v>88</v>
      </c>
      <c r="AF46" t="s">
        <v>89</v>
      </c>
      <c r="AG46" t="s">
        <v>90</v>
      </c>
      <c r="AH46" t="s">
        <v>91</v>
      </c>
      <c r="AI46" t="s">
        <v>92</v>
      </c>
      <c r="AJ46" t="s">
        <v>93</v>
      </c>
      <c r="AK46" t="s">
        <v>94</v>
      </c>
      <c r="AL46" t="s">
        <v>95</v>
      </c>
      <c r="AM46" t="s">
        <v>96</v>
      </c>
      <c r="AN46" t="s">
        <v>97</v>
      </c>
      <c r="AO46" t="s">
        <v>103</v>
      </c>
      <c r="AP46" t="s">
        <v>104</v>
      </c>
      <c r="AQ46" t="s">
        <v>105</v>
      </c>
      <c r="AR46" t="s">
        <v>45</v>
      </c>
      <c r="AS46" t="s">
        <v>46</v>
      </c>
      <c r="AT46" t="s">
        <v>47</v>
      </c>
      <c r="AU46" t="s">
        <v>48</v>
      </c>
      <c r="AV46" t="s">
        <v>37</v>
      </c>
      <c r="AW46" t="s">
        <v>38</v>
      </c>
      <c r="AX46" t="s">
        <v>8</v>
      </c>
      <c r="AY46" t="s">
        <v>9</v>
      </c>
      <c r="AZ46" t="s">
        <v>10</v>
      </c>
      <c r="BA46" t="s">
        <v>11</v>
      </c>
      <c r="BB46" t="s">
        <v>12</v>
      </c>
      <c r="BC46" t="s">
        <v>13</v>
      </c>
      <c r="BD46" t="s">
        <v>14</v>
      </c>
      <c r="BE46" t="s">
        <v>16</v>
      </c>
      <c r="BF46" t="s">
        <v>17</v>
      </c>
      <c r="BG46" t="s">
        <v>18</v>
      </c>
      <c r="BH46" t="s">
        <v>19</v>
      </c>
      <c r="BI46" t="s">
        <v>20</v>
      </c>
      <c r="BJ46" t="s">
        <v>21</v>
      </c>
      <c r="BK46" t="s">
        <v>22</v>
      </c>
      <c r="BL46" t="s">
        <v>39</v>
      </c>
    </row>
    <row r="47" spans="1:64" x14ac:dyDescent="0.25">
      <c r="A47" s="6" t="str">
        <f>$A$3&amp;"_"&amp;"AI_RT"</f>
        <v>BXX_GEN1_DE1_AI_RT</v>
      </c>
      <c r="B47" s="6" t="str">
        <f>$A$3</f>
        <v>BXX_GEN1_DE1</v>
      </c>
      <c r="C47" s="6" t="str">
        <f>$C$3&amp;" Runtime (Hours)"</f>
        <v>Sample Generator Runtime (Hours)</v>
      </c>
      <c r="D47" s="4">
        <f t="shared" si="0"/>
        <v>32</v>
      </c>
      <c r="E47" t="s">
        <v>0</v>
      </c>
      <c r="F47" t="s">
        <v>1</v>
      </c>
      <c r="G47">
        <v>0</v>
      </c>
      <c r="H47" t="s">
        <v>0</v>
      </c>
      <c r="I47" t="s">
        <v>1</v>
      </c>
      <c r="J47">
        <v>0</v>
      </c>
      <c r="K47">
        <v>0</v>
      </c>
      <c r="L47" t="s">
        <v>111</v>
      </c>
      <c r="M47">
        <v>0</v>
      </c>
      <c r="N47">
        <v>0</v>
      </c>
      <c r="O47">
        <v>1000000</v>
      </c>
      <c r="P47">
        <v>0</v>
      </c>
      <c r="Q47">
        <v>1</v>
      </c>
      <c r="R47" t="s">
        <v>40</v>
      </c>
      <c r="S47">
        <v>0</v>
      </c>
      <c r="T47">
        <v>1</v>
      </c>
      <c r="U47" t="s">
        <v>40</v>
      </c>
      <c r="V47">
        <v>0</v>
      </c>
      <c r="W47">
        <v>1</v>
      </c>
      <c r="X47" t="s">
        <v>40</v>
      </c>
      <c r="Y47">
        <v>0</v>
      </c>
      <c r="Z47">
        <v>1</v>
      </c>
      <c r="AA47" t="s">
        <v>40</v>
      </c>
      <c r="AB47">
        <v>0</v>
      </c>
      <c r="AC47">
        <v>1</v>
      </c>
      <c r="AD47" t="s">
        <v>40</v>
      </c>
      <c r="AE47">
        <v>0</v>
      </c>
      <c r="AF47">
        <v>1</v>
      </c>
      <c r="AG47" t="s">
        <v>40</v>
      </c>
      <c r="AH47">
        <v>0</v>
      </c>
      <c r="AI47">
        <v>1</v>
      </c>
      <c r="AJ47">
        <v>0</v>
      </c>
      <c r="AK47" t="s">
        <v>40</v>
      </c>
      <c r="AL47">
        <v>0</v>
      </c>
      <c r="AM47">
        <v>1</v>
      </c>
      <c r="AN47" t="s">
        <v>98</v>
      </c>
      <c r="AO47">
        <v>0</v>
      </c>
      <c r="AP47">
        <v>1000000</v>
      </c>
      <c r="AQ47" t="s">
        <v>106</v>
      </c>
      <c r="AR47" s="6" t="str">
        <f>$O$9</f>
        <v>BXX</v>
      </c>
      <c r="AS47" t="s">
        <v>1</v>
      </c>
      <c r="AT47" s="6" t="str">
        <f>$A$3&amp;".AI_RT"</f>
        <v>BXX_GEN1_DE1.AI_RT</v>
      </c>
      <c r="AU47" t="s">
        <v>1</v>
      </c>
      <c r="AV47" s="6" t="str">
        <f>C47</f>
        <v>Sample Generator Runtime (Hours)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</row>
    <row r="48" spans="1:64" x14ac:dyDescent="0.25">
      <c r="A48" s="1" t="s">
        <v>112</v>
      </c>
      <c r="B48" t="s">
        <v>4</v>
      </c>
      <c r="C48" t="s">
        <v>5</v>
      </c>
      <c r="D48" s="4">
        <f t="shared" si="0"/>
        <v>7</v>
      </c>
      <c r="E48" t="s">
        <v>30</v>
      </c>
      <c r="F48" t="s">
        <v>6</v>
      </c>
      <c r="G48" t="s">
        <v>7</v>
      </c>
      <c r="H48" t="s">
        <v>31</v>
      </c>
      <c r="I48" t="s">
        <v>113</v>
      </c>
      <c r="J48" t="s">
        <v>114</v>
      </c>
      <c r="K48" t="s">
        <v>37</v>
      </c>
      <c r="L48" t="s">
        <v>39</v>
      </c>
    </row>
    <row r="49" spans="1:21" x14ac:dyDescent="0.25">
      <c r="A49" s="6" t="str">
        <f>$A$3&amp;"_"&amp;"DI_NM"</f>
        <v>BXX_GEN1_DE1_DI_NM</v>
      </c>
      <c r="B49" s="6" t="str">
        <f>$A$3</f>
        <v>BXX_GEN1_DE1</v>
      </c>
      <c r="C49" s="6" t="str">
        <f>$A$3</f>
        <v>BXX_GEN1_DE1</v>
      </c>
      <c r="D49" s="4">
        <f t="shared" si="0"/>
        <v>12</v>
      </c>
      <c r="E49" t="s">
        <v>1</v>
      </c>
      <c r="F49" t="s">
        <v>1</v>
      </c>
      <c r="G49">
        <v>0</v>
      </c>
      <c r="H49" t="s">
        <v>0</v>
      </c>
      <c r="I49">
        <v>24</v>
      </c>
      <c r="J49" s="6" t="str">
        <f>$A$3</f>
        <v>BXX_GEN1_DE1</v>
      </c>
      <c r="K49" s="6" t="str">
        <f>$A$3</f>
        <v>BXX_GEN1_DE1</v>
      </c>
    </row>
    <row r="50" spans="1:21" s="162" customFormat="1" x14ac:dyDescent="0.25">
      <c r="A50" s="163" t="s">
        <v>677</v>
      </c>
      <c r="B50" s="163" t="s">
        <v>144</v>
      </c>
      <c r="C50" s="163" t="s">
        <v>357</v>
      </c>
      <c r="D50" s="4">
        <f t="shared" si="0"/>
        <v>14</v>
      </c>
      <c r="E50" s="164" t="s">
        <v>1</v>
      </c>
      <c r="F50" s="164" t="s">
        <v>1</v>
      </c>
      <c r="G50" s="164">
        <v>0</v>
      </c>
      <c r="H50" s="164" t="s">
        <v>0</v>
      </c>
      <c r="I50" s="164">
        <v>64</v>
      </c>
      <c r="J50" s="164"/>
      <c r="K50" s="164"/>
    </row>
    <row r="51" spans="1:21" x14ac:dyDescent="0.25">
      <c r="A51" t="s">
        <v>115</v>
      </c>
      <c r="B51" t="s">
        <v>4</v>
      </c>
      <c r="C51" t="s">
        <v>5</v>
      </c>
      <c r="D51" s="4">
        <f t="shared" si="0"/>
        <v>7</v>
      </c>
      <c r="E51" t="s">
        <v>30</v>
      </c>
      <c r="F51" t="s">
        <v>6</v>
      </c>
      <c r="G51" t="s">
        <v>7</v>
      </c>
      <c r="H51" t="s">
        <v>31</v>
      </c>
      <c r="I51" t="s">
        <v>113</v>
      </c>
      <c r="J51" t="s">
        <v>114</v>
      </c>
      <c r="K51" t="s">
        <v>45</v>
      </c>
      <c r="L51" t="s">
        <v>46</v>
      </c>
      <c r="M51" t="s">
        <v>47</v>
      </c>
      <c r="N51" t="s">
        <v>48</v>
      </c>
      <c r="O51" t="s">
        <v>37</v>
      </c>
      <c r="P51" t="s">
        <v>39</v>
      </c>
    </row>
    <row r="52" spans="1:21" x14ac:dyDescent="0.25">
      <c r="A52" s="3" t="str">
        <f>$A$3&amp;"_"&amp;"PB_SF_RN"</f>
        <v>BXX_GEN1_DE1_PB_SF_RN</v>
      </c>
      <c r="B52" s="6" t="str">
        <f t="shared" ref="B52:B58" si="11">$A$3</f>
        <v>BXX_GEN1_DE1</v>
      </c>
      <c r="C52" s="6" t="str">
        <f>$C$3 &amp; " Failed To Start Dis Reason"</f>
        <v>Sample Generator Failed To Start Dis Reason</v>
      </c>
      <c r="D52" s="4">
        <f t="shared" si="0"/>
        <v>43</v>
      </c>
      <c r="E52" t="s">
        <v>1</v>
      </c>
      <c r="F52" t="s">
        <v>1</v>
      </c>
      <c r="G52">
        <v>0</v>
      </c>
      <c r="H52" t="s">
        <v>0</v>
      </c>
      <c r="I52">
        <v>131</v>
      </c>
      <c r="J52" t="s">
        <v>123</v>
      </c>
      <c r="K52" s="2" t="s">
        <v>124</v>
      </c>
      <c r="L52" t="s">
        <v>0</v>
      </c>
      <c r="M52" s="6" t="str">
        <f t="shared" ref="M52:M58" si="12">A52</f>
        <v>BXX_GEN1_DE1_PB_SF_RN</v>
      </c>
      <c r="N52" t="s">
        <v>1</v>
      </c>
      <c r="O52" s="6" t="str">
        <f t="shared" ref="O52:O58" si="13">C52</f>
        <v>Sample Generator Failed To Start Dis Reason</v>
      </c>
    </row>
    <row r="53" spans="1:21" x14ac:dyDescent="0.25">
      <c r="A53" s="3" t="str">
        <f>$A$3&amp;"_"&amp;"PB_XF_RN"</f>
        <v>BXX_GEN1_DE1_PB_XF_RN</v>
      </c>
      <c r="B53" s="6" t="str">
        <f t="shared" si="11"/>
        <v>BXX_GEN1_DE1</v>
      </c>
      <c r="C53" s="6" t="str">
        <f>$C$3 &amp; " Failed To Stop Dis Reason"</f>
        <v>Sample Generator Failed To Stop Dis Reason</v>
      </c>
      <c r="D53" s="4">
        <f t="shared" si="0"/>
        <v>42</v>
      </c>
      <c r="E53" t="s">
        <v>1</v>
      </c>
      <c r="F53" t="s">
        <v>1</v>
      </c>
      <c r="G53">
        <v>0</v>
      </c>
      <c r="H53" t="s">
        <v>0</v>
      </c>
      <c r="I53">
        <v>131</v>
      </c>
      <c r="J53" t="s">
        <v>123</v>
      </c>
      <c r="K53" s="6" t="str">
        <f>$K$52</f>
        <v>BXXCPU01_1</v>
      </c>
      <c r="L53" t="s">
        <v>0</v>
      </c>
      <c r="M53" s="6" t="str">
        <f t="shared" si="12"/>
        <v>BXX_GEN1_DE1_PB_XF_RN</v>
      </c>
      <c r="N53" t="s">
        <v>1</v>
      </c>
      <c r="O53" s="6" t="str">
        <f t="shared" si="13"/>
        <v>Sample Generator Failed To Stop Dis Reason</v>
      </c>
    </row>
    <row r="54" spans="1:21" x14ac:dyDescent="0.25">
      <c r="A54" s="3" t="str">
        <f>$A$3&amp;"_"&amp;"PB_AE_RN"</f>
        <v>BXX_GEN1_DE1_PB_AE_RN</v>
      </c>
      <c r="B54" s="6" t="str">
        <f t="shared" si="11"/>
        <v>BXX_GEN1_DE1</v>
      </c>
      <c r="C54" s="6" t="str">
        <f>$C$3 &amp; " Alarms Disabled Reason"</f>
        <v>Sample Generator Alarms Disabled Reason</v>
      </c>
      <c r="D54" s="4">
        <f t="shared" si="0"/>
        <v>39</v>
      </c>
      <c r="E54" t="s">
        <v>1</v>
      </c>
      <c r="F54" t="s">
        <v>1</v>
      </c>
      <c r="G54">
        <v>0</v>
      </c>
      <c r="H54" t="s">
        <v>0</v>
      </c>
      <c r="I54">
        <v>131</v>
      </c>
      <c r="J54" t="s">
        <v>123</v>
      </c>
      <c r="K54" s="6" t="str">
        <f t="shared" ref="K54:K58" si="14">$K$52</f>
        <v>BXXCPU01_1</v>
      </c>
      <c r="L54" t="s">
        <v>0</v>
      </c>
      <c r="M54" s="6" t="str">
        <f t="shared" si="12"/>
        <v>BXX_GEN1_DE1_PB_AE_RN</v>
      </c>
      <c r="N54" t="s">
        <v>1</v>
      </c>
      <c r="O54" s="6" t="str">
        <f t="shared" si="13"/>
        <v>Sample Generator Alarms Disabled Reason</v>
      </c>
    </row>
    <row r="55" spans="1:21" s="262" customFormat="1" x14ac:dyDescent="0.25">
      <c r="A55" s="3" t="str">
        <f>$A$3&amp;"_"&amp;"PB_RM_RN"</f>
        <v>BXX_GEN1_DE1_PB_RM_RN</v>
      </c>
      <c r="B55" s="6" t="str">
        <f t="shared" si="11"/>
        <v>BXX_GEN1_DE1</v>
      </c>
      <c r="C55" s="6" t="str">
        <f>$C$3 &amp; " Not In Auto Disabled Reason"</f>
        <v>Sample Generator Not In Auto Disabled Reason</v>
      </c>
      <c r="D55" s="4">
        <f t="shared" ref="D55" si="15">LEN(C55)</f>
        <v>44</v>
      </c>
      <c r="E55" s="262" t="s">
        <v>1</v>
      </c>
      <c r="F55" s="262" t="s">
        <v>1</v>
      </c>
      <c r="G55" s="220">
        <v>0</v>
      </c>
      <c r="H55" s="262" t="s">
        <v>0</v>
      </c>
      <c r="I55" s="262">
        <v>131</v>
      </c>
      <c r="J55" s="262" t="s">
        <v>123</v>
      </c>
      <c r="K55" s="6" t="str">
        <f t="shared" si="14"/>
        <v>BXXCPU01_1</v>
      </c>
      <c r="L55" s="262" t="s">
        <v>0</v>
      </c>
      <c r="M55" s="6" t="str">
        <f t="shared" ref="M55" si="16">A55</f>
        <v>BXX_GEN1_DE1_PB_RM_RN</v>
      </c>
      <c r="N55" s="262" t="s">
        <v>1</v>
      </c>
      <c r="O55" s="6" t="str">
        <f t="shared" ref="O55" si="17">C55</f>
        <v>Sample Generator Not In Auto Disabled Reason</v>
      </c>
      <c r="P55" s="220"/>
      <c r="Q55" s="220"/>
      <c r="R55" s="220"/>
      <c r="S55" s="220"/>
      <c r="T55" s="220"/>
      <c r="U55" s="220"/>
    </row>
    <row r="56" spans="1:21" x14ac:dyDescent="0.25">
      <c r="A56" s="3" t="str">
        <f>$A$3&amp;"_"&amp;"PB_ES_RN"</f>
        <v>BXX_GEN1_DE1_PB_ES_RN</v>
      </c>
      <c r="B56" s="6" t="str">
        <f t="shared" si="11"/>
        <v>BXX_GEN1_DE1</v>
      </c>
      <c r="C56" s="6" t="str">
        <f>$C$3&amp;" E-Stop Disabled Reason"</f>
        <v>Sample Generator E-Stop Disabled Reason</v>
      </c>
      <c r="D56" s="4">
        <f t="shared" si="0"/>
        <v>39</v>
      </c>
      <c r="E56" t="s">
        <v>1</v>
      </c>
      <c r="F56" t="s">
        <v>1</v>
      </c>
      <c r="G56">
        <v>0</v>
      </c>
      <c r="H56" t="s">
        <v>0</v>
      </c>
      <c r="I56">
        <v>131</v>
      </c>
      <c r="J56" t="s">
        <v>123</v>
      </c>
      <c r="K56" s="6" t="str">
        <f t="shared" si="14"/>
        <v>BXXCPU01_1</v>
      </c>
      <c r="L56" t="s">
        <v>0</v>
      </c>
      <c r="M56" s="6" t="str">
        <f t="shared" si="12"/>
        <v>BXX_GEN1_DE1_PB_ES_RN</v>
      </c>
      <c r="N56" t="s">
        <v>1</v>
      </c>
      <c r="O56" s="6" t="str">
        <f t="shared" si="13"/>
        <v>Sample Generator E-Stop Disabled Reason</v>
      </c>
    </row>
    <row r="57" spans="1:21" x14ac:dyDescent="0.25">
      <c r="A57" s="3" t="str">
        <f>$A$3&amp;"_"&amp;"PB_JW_RN"</f>
        <v>BXX_GEN1_DE1_PB_JW_RN</v>
      </c>
      <c r="B57" s="6" t="str">
        <f t="shared" si="11"/>
        <v>BXX_GEN1_DE1</v>
      </c>
      <c r="C57" s="6" t="str">
        <f>$C$3&amp;" Warning Disabled Reason"</f>
        <v>Sample Generator Warning Disabled Reason</v>
      </c>
      <c r="D57" s="4">
        <f t="shared" si="0"/>
        <v>40</v>
      </c>
      <c r="E57" t="s">
        <v>1</v>
      </c>
      <c r="F57" t="s">
        <v>1</v>
      </c>
      <c r="G57">
        <v>0</v>
      </c>
      <c r="H57" t="s">
        <v>0</v>
      </c>
      <c r="I57">
        <v>131</v>
      </c>
      <c r="J57" t="s">
        <v>123</v>
      </c>
      <c r="K57" s="6" t="str">
        <f t="shared" si="14"/>
        <v>BXXCPU01_1</v>
      </c>
      <c r="L57" t="s">
        <v>0</v>
      </c>
      <c r="M57" s="6" t="str">
        <f t="shared" si="12"/>
        <v>BXX_GEN1_DE1_PB_JW_RN</v>
      </c>
      <c r="N57" t="s">
        <v>1</v>
      </c>
      <c r="O57" s="6" t="str">
        <f t="shared" si="13"/>
        <v>Sample Generator Warning Disabled Reason</v>
      </c>
    </row>
    <row r="58" spans="1:21" x14ac:dyDescent="0.25">
      <c r="A58" s="3" t="str">
        <f>$A$3&amp;"_"&amp;"PB_GA_RN"</f>
        <v>BXX_GEN1_DE1_PB_GA_RN</v>
      </c>
      <c r="B58" s="6" t="str">
        <f t="shared" si="11"/>
        <v>BXX_GEN1_DE1</v>
      </c>
      <c r="C58" s="6" t="str">
        <f>$C$3&amp;" Fault Disabled Reason"</f>
        <v>Sample Generator Fault Disabled Reason</v>
      </c>
      <c r="D58" s="4">
        <f t="shared" si="0"/>
        <v>38</v>
      </c>
      <c r="E58" t="s">
        <v>1</v>
      </c>
      <c r="F58" t="s">
        <v>1</v>
      </c>
      <c r="G58">
        <v>0</v>
      </c>
      <c r="H58" t="s">
        <v>0</v>
      </c>
      <c r="I58">
        <v>131</v>
      </c>
      <c r="J58" t="s">
        <v>123</v>
      </c>
      <c r="K58" s="6" t="str">
        <f t="shared" si="14"/>
        <v>BXXCPU01_1</v>
      </c>
      <c r="L58" t="s">
        <v>0</v>
      </c>
      <c r="M58" s="6" t="str">
        <f t="shared" si="12"/>
        <v>BXX_GEN1_DE1_PB_GA_RN</v>
      </c>
      <c r="N58" t="s">
        <v>1</v>
      </c>
      <c r="O58" s="6" t="str">
        <f t="shared" si="13"/>
        <v>Sample Generator Fault Disabled Reason</v>
      </c>
    </row>
    <row r="59" spans="1:21" x14ac:dyDescent="0.25">
      <c r="A59" s="151" t="s">
        <v>176</v>
      </c>
      <c r="B59" s="151" t="s">
        <v>4</v>
      </c>
      <c r="C59" s="151" t="s">
        <v>5</v>
      </c>
      <c r="D59" s="4">
        <f t="shared" si="0"/>
        <v>7</v>
      </c>
      <c r="E59" s="151" t="s">
        <v>6</v>
      </c>
      <c r="F59" s="151" t="s">
        <v>7</v>
      </c>
      <c r="G59" s="151" t="s">
        <v>31</v>
      </c>
      <c r="H59" s="151" t="s">
        <v>39</v>
      </c>
    </row>
    <row r="60" spans="1:21" x14ac:dyDescent="0.25">
      <c r="A60" s="152" t="s">
        <v>678</v>
      </c>
      <c r="B60" s="152" t="s">
        <v>144</v>
      </c>
      <c r="C60" s="152" t="s">
        <v>343</v>
      </c>
      <c r="D60" s="4">
        <f t="shared" si="0"/>
        <v>30</v>
      </c>
      <c r="E60" s="153" t="s">
        <v>1</v>
      </c>
      <c r="F60" s="153">
        <v>0</v>
      </c>
      <c r="G60" s="153" t="s">
        <v>1</v>
      </c>
    </row>
    <row r="61" spans="1:21" x14ac:dyDescent="0.25">
      <c r="A61" s="152" t="s">
        <v>679</v>
      </c>
      <c r="B61" s="152" t="s">
        <v>144</v>
      </c>
      <c r="C61" s="152" t="s">
        <v>344</v>
      </c>
      <c r="D61" s="4">
        <f t="shared" si="0"/>
        <v>35</v>
      </c>
      <c r="E61" s="153" t="s">
        <v>1</v>
      </c>
      <c r="F61" s="153">
        <v>0</v>
      </c>
      <c r="G61" s="153" t="s">
        <v>1</v>
      </c>
    </row>
    <row r="62" spans="1:21" x14ac:dyDescent="0.25">
      <c r="A62" s="152" t="s">
        <v>680</v>
      </c>
      <c r="B62" s="152" t="s">
        <v>144</v>
      </c>
      <c r="C62" s="152" t="s">
        <v>345</v>
      </c>
      <c r="D62" s="4">
        <f t="shared" si="0"/>
        <v>30</v>
      </c>
      <c r="E62" s="153" t="s">
        <v>1</v>
      </c>
      <c r="F62" s="153">
        <v>0</v>
      </c>
      <c r="G62" s="153" t="s">
        <v>1</v>
      </c>
    </row>
    <row r="63" spans="1:21" x14ac:dyDescent="0.25">
      <c r="A63" s="152" t="s">
        <v>681</v>
      </c>
      <c r="B63" s="152" t="s">
        <v>144</v>
      </c>
      <c r="C63" s="152" t="s">
        <v>346</v>
      </c>
      <c r="D63" s="4">
        <f t="shared" si="0"/>
        <v>39</v>
      </c>
      <c r="E63" s="153" t="s">
        <v>1</v>
      </c>
      <c r="F63" s="153">
        <v>0</v>
      </c>
      <c r="G63" s="153" t="s">
        <v>1</v>
      </c>
    </row>
    <row r="64" spans="1:21" x14ac:dyDescent="0.25">
      <c r="A64" s="152" t="s">
        <v>682</v>
      </c>
      <c r="B64" s="152" t="s">
        <v>144</v>
      </c>
      <c r="C64" s="152" t="s">
        <v>347</v>
      </c>
      <c r="D64" s="4">
        <f t="shared" si="0"/>
        <v>34</v>
      </c>
      <c r="E64" s="153" t="s">
        <v>1</v>
      </c>
      <c r="F64" s="153">
        <v>0</v>
      </c>
      <c r="G64" s="153" t="s">
        <v>1</v>
      </c>
    </row>
    <row r="65" spans="1:13" x14ac:dyDescent="0.25">
      <c r="A65" s="152" t="s">
        <v>683</v>
      </c>
      <c r="B65" s="152" t="s">
        <v>144</v>
      </c>
      <c r="C65" s="152" t="s">
        <v>348</v>
      </c>
      <c r="D65" s="4">
        <f t="shared" si="0"/>
        <v>44</v>
      </c>
      <c r="E65" s="153" t="s">
        <v>1</v>
      </c>
      <c r="F65" s="153">
        <v>0</v>
      </c>
      <c r="G65" s="153" t="s">
        <v>1</v>
      </c>
    </row>
    <row r="66" spans="1:13" x14ac:dyDescent="0.25">
      <c r="A66" s="152" t="s">
        <v>684</v>
      </c>
      <c r="B66" s="152" t="s">
        <v>144</v>
      </c>
      <c r="C66" s="152" t="s">
        <v>349</v>
      </c>
      <c r="D66" s="4">
        <f t="shared" si="0"/>
        <v>36</v>
      </c>
      <c r="E66" s="153" t="s">
        <v>1</v>
      </c>
      <c r="F66" s="153">
        <v>0</v>
      </c>
      <c r="G66" s="153" t="s">
        <v>1</v>
      </c>
    </row>
    <row r="67" spans="1:13" x14ac:dyDescent="0.25">
      <c r="A67" s="152" t="s">
        <v>685</v>
      </c>
      <c r="B67" s="152" t="s">
        <v>144</v>
      </c>
      <c r="C67" s="152" t="s">
        <v>350</v>
      </c>
      <c r="D67" s="4">
        <f t="shared" si="0"/>
        <v>46</v>
      </c>
      <c r="E67" s="153" t="s">
        <v>1</v>
      </c>
      <c r="F67" s="153">
        <v>0</v>
      </c>
      <c r="G67" s="153" t="s">
        <v>1</v>
      </c>
    </row>
    <row r="68" spans="1:13" x14ac:dyDescent="0.25">
      <c r="A68" s="152" t="s">
        <v>686</v>
      </c>
      <c r="B68" s="152" t="s">
        <v>144</v>
      </c>
      <c r="C68" s="152" t="s">
        <v>351</v>
      </c>
      <c r="D68" s="4">
        <f t="shared" ref="D68:D75" si="18">LEN(C68)</f>
        <v>41</v>
      </c>
      <c r="E68" s="153" t="s">
        <v>1</v>
      </c>
      <c r="F68" s="153">
        <v>0</v>
      </c>
      <c r="G68" s="153" t="s">
        <v>1</v>
      </c>
    </row>
    <row r="69" spans="1:13" x14ac:dyDescent="0.25">
      <c r="A69" s="152" t="s">
        <v>687</v>
      </c>
      <c r="B69" s="152" t="s">
        <v>144</v>
      </c>
      <c r="C69" s="152" t="s">
        <v>352</v>
      </c>
      <c r="D69" s="4">
        <f t="shared" si="18"/>
        <v>42</v>
      </c>
      <c r="E69" s="153" t="s">
        <v>1</v>
      </c>
      <c r="F69" s="153">
        <v>0</v>
      </c>
      <c r="G69" s="153" t="s">
        <v>1</v>
      </c>
    </row>
    <row r="70" spans="1:13" x14ac:dyDescent="0.25">
      <c r="A70" s="154" t="s">
        <v>143</v>
      </c>
      <c r="B70" s="154" t="s">
        <v>4</v>
      </c>
      <c r="C70" s="154" t="s">
        <v>5</v>
      </c>
      <c r="D70" s="4">
        <f t="shared" si="18"/>
        <v>7</v>
      </c>
      <c r="E70" s="155" t="s">
        <v>6</v>
      </c>
      <c r="F70" s="155" t="s">
        <v>7</v>
      </c>
      <c r="G70" s="155" t="s">
        <v>31</v>
      </c>
      <c r="H70" s="155" t="s">
        <v>39</v>
      </c>
    </row>
    <row r="71" spans="1:13" x14ac:dyDescent="0.25">
      <c r="A71" s="156" t="s">
        <v>688</v>
      </c>
      <c r="B71" s="156" t="s">
        <v>144</v>
      </c>
      <c r="C71" s="156" t="s">
        <v>353</v>
      </c>
      <c r="D71" s="4">
        <f t="shared" si="18"/>
        <v>30</v>
      </c>
      <c r="E71" s="157" t="s">
        <v>1</v>
      </c>
      <c r="F71" s="157">
        <v>0</v>
      </c>
      <c r="G71" s="157" t="s">
        <v>1</v>
      </c>
    </row>
    <row r="72" spans="1:13" x14ac:dyDescent="0.25">
      <c r="A72" s="158" t="s">
        <v>204</v>
      </c>
      <c r="B72" s="158" t="s">
        <v>4</v>
      </c>
      <c r="C72" s="158" t="s">
        <v>5</v>
      </c>
      <c r="D72" s="4">
        <f t="shared" si="18"/>
        <v>7</v>
      </c>
      <c r="E72" s="158" t="s">
        <v>39</v>
      </c>
      <c r="F72" s="158"/>
      <c r="G72" s="158"/>
      <c r="H72" s="158"/>
      <c r="I72" s="158"/>
      <c r="J72" s="158"/>
      <c r="K72" s="158"/>
      <c r="L72" s="158"/>
      <c r="M72" s="158"/>
    </row>
    <row r="73" spans="1:13" x14ac:dyDescent="0.25">
      <c r="A73" s="159" t="s">
        <v>689</v>
      </c>
      <c r="B73" s="159" t="s">
        <v>144</v>
      </c>
      <c r="C73" s="159" t="s">
        <v>354</v>
      </c>
      <c r="D73" s="4">
        <f t="shared" si="18"/>
        <v>23</v>
      </c>
    </row>
    <row r="74" spans="1:13" x14ac:dyDescent="0.25">
      <c r="A74" s="160" t="s">
        <v>201</v>
      </c>
      <c r="B74" s="160" t="s">
        <v>4</v>
      </c>
      <c r="C74" s="160" t="s">
        <v>5</v>
      </c>
      <c r="D74" s="4">
        <f t="shared" si="18"/>
        <v>7</v>
      </c>
      <c r="E74" s="160" t="s">
        <v>6</v>
      </c>
      <c r="F74" s="160" t="s">
        <v>7</v>
      </c>
      <c r="G74" s="160" t="s">
        <v>31</v>
      </c>
      <c r="H74" s="160" t="s">
        <v>39</v>
      </c>
    </row>
    <row r="75" spans="1:13" x14ac:dyDescent="0.25">
      <c r="A75" s="161" t="s">
        <v>355</v>
      </c>
      <c r="B75" s="161" t="s">
        <v>144</v>
      </c>
      <c r="C75" s="161" t="s">
        <v>356</v>
      </c>
      <c r="D75" s="4">
        <f t="shared" si="18"/>
        <v>35</v>
      </c>
      <c r="E75" s="162" t="s">
        <v>1</v>
      </c>
      <c r="F75" s="162">
        <v>0</v>
      </c>
      <c r="G75" s="162" t="s">
        <v>1</v>
      </c>
    </row>
  </sheetData>
  <conditionalFormatting sqref="D56:D75 D3:D54">
    <cfRule type="cellIs" dxfId="49" priority="112" operator="greaterThan">
      <formula>49</formula>
    </cfRule>
  </conditionalFormatting>
  <conditionalFormatting sqref="D55">
    <cfRule type="cellIs" dxfId="48" priority="1" operator="greaterThan">
      <formula>49</formula>
    </cfRule>
  </conditionalFormatting>
  <pageMargins left="0.7" right="0.7" top="0.97222222222222221" bottom="0.75" header="0.3" footer="0.3"/>
  <pageSetup orientation="portrait" r:id="rId1"/>
  <headerFooter>
    <oddHeader>&amp;L&amp;"Times New Roman,Regular"Regional Municipality of Halton  
SCADA Standards Manual Section 6 HMI Programming
Appendix 6A HMI Tag Template&amp;R&amp;"Times New Roman,Regular"SCADA STANDARDS 2022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Guide</vt:lpstr>
      <vt:lpstr>BXX Alarms</vt:lpstr>
      <vt:lpstr>SCADA_DEV_RPU</vt:lpstr>
      <vt:lpstr>SCADA_SYS_DI Dialer Alarms</vt:lpstr>
      <vt:lpstr>SCADA_DEV_AIT</vt:lpstr>
      <vt:lpstr>SCADA_DEV_MOTOR</vt:lpstr>
      <vt:lpstr>SCADA_DEV_VLV</vt:lpstr>
      <vt:lpstr>SCADA_DEV_ATS</vt:lpstr>
      <vt:lpstr>SCADA_DEV_GEN</vt:lpstr>
      <vt:lpstr>SCADA_DEV_PRM</vt:lpstr>
      <vt:lpstr>SCADA_DEV_WTN</vt:lpstr>
      <vt:lpstr>SCADA_PRC_PUMP_XDUTY</vt:lpstr>
      <vt:lpstr>SCADA_PRC_XMTR_XDUTY</vt:lpstr>
      <vt:lpstr>SCADA_PRC_OVERFLOW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Craig, David</dc:creator>
  <cp:lastModifiedBy>Hu, David</cp:lastModifiedBy>
  <dcterms:created xsi:type="dcterms:W3CDTF">2017-12-04T19:10:02Z</dcterms:created>
  <dcterms:modified xsi:type="dcterms:W3CDTF">2022-02-24T15:20:10Z</dcterms:modified>
</cp:coreProperties>
</file>